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activeTab="2"/>
  </bookViews>
  <sheets>
    <sheet name="Сад 2020" sheetId="4" r:id="rId1"/>
    <sheet name="2021 год" sheetId="1" r:id="rId2"/>
    <sheet name="04.05.22" sheetId="3" r:id="rId3"/>
    <sheet name="Лист1" sheetId="5" r:id="rId4"/>
  </sheets>
  <calcPr calcId="162913" refMode="R1C1"/>
</workbook>
</file>

<file path=xl/calcChain.xml><?xml version="1.0" encoding="utf-8"?>
<calcChain xmlns="http://schemas.openxmlformats.org/spreadsheetml/2006/main">
  <c r="J630" i="3" l="1"/>
  <c r="I630" i="3"/>
  <c r="H630" i="3"/>
  <c r="G630" i="3"/>
  <c r="F630" i="3"/>
  <c r="J848" i="3"/>
  <c r="I848" i="3"/>
  <c r="H848" i="3"/>
  <c r="I825" i="3"/>
  <c r="H825" i="3"/>
  <c r="G825" i="3"/>
  <c r="F825" i="3"/>
  <c r="I809" i="3"/>
  <c r="H809" i="3"/>
  <c r="G809" i="3"/>
  <c r="F809" i="3"/>
  <c r="I802" i="3"/>
  <c r="H802" i="3"/>
  <c r="G802" i="3"/>
  <c r="F802" i="3"/>
  <c r="J797" i="3"/>
  <c r="I642" i="3"/>
  <c r="G642" i="3"/>
  <c r="F642" i="3"/>
  <c r="I641" i="3"/>
  <c r="H641" i="3"/>
  <c r="G641" i="3"/>
  <c r="F641" i="3"/>
  <c r="J640" i="3"/>
  <c r="I640" i="3"/>
  <c r="I639" i="3" s="1"/>
  <c r="H640" i="3"/>
  <c r="H639" i="3" s="1"/>
  <c r="G640" i="3"/>
  <c r="G639" i="3" s="1"/>
  <c r="F640" i="3"/>
  <c r="F639" i="3" s="1"/>
  <c r="J639" i="3"/>
  <c r="J527" i="3"/>
  <c r="I527" i="3"/>
  <c r="H527" i="3"/>
  <c r="G527" i="3"/>
  <c r="F527" i="3"/>
  <c r="J233" i="3"/>
  <c r="I233" i="3"/>
  <c r="H233" i="3"/>
  <c r="G233" i="3"/>
  <c r="F233" i="3"/>
  <c r="F244" i="3"/>
  <c r="G244" i="3"/>
  <c r="H244" i="3"/>
  <c r="I244" i="3"/>
  <c r="J244" i="3"/>
  <c r="F256" i="3"/>
  <c r="G256" i="3"/>
  <c r="H256" i="3"/>
  <c r="I256" i="3"/>
  <c r="J256" i="3"/>
  <c r="F262" i="3"/>
  <c r="G262" i="3"/>
  <c r="H262" i="3"/>
  <c r="I262" i="3"/>
  <c r="J262" i="3"/>
  <c r="F267" i="3"/>
  <c r="G267" i="3"/>
  <c r="H267" i="3"/>
  <c r="I267" i="3"/>
  <c r="J267" i="3"/>
  <c r="I136" i="3"/>
  <c r="H136" i="3"/>
  <c r="G136" i="3"/>
  <c r="F136" i="3"/>
  <c r="I92" i="3"/>
  <c r="H92" i="3"/>
  <c r="G92" i="3"/>
  <c r="F92" i="3"/>
  <c r="I88" i="3"/>
  <c r="H88" i="3"/>
  <c r="G88" i="3"/>
  <c r="F88" i="3"/>
  <c r="I269" i="3" l="1"/>
  <c r="G269" i="3"/>
  <c r="J269" i="3"/>
  <c r="H269" i="3"/>
  <c r="F269" i="3"/>
  <c r="J606" i="3"/>
  <c r="I604" i="3"/>
  <c r="H604" i="3"/>
  <c r="I602" i="3"/>
  <c r="I606" i="3" s="1"/>
  <c r="H602" i="3"/>
  <c r="H606" i="3" s="1"/>
  <c r="G602" i="3"/>
  <c r="G606" i="3" s="1"/>
  <c r="F602" i="3"/>
  <c r="F606" i="3" s="1"/>
  <c r="F166" i="3"/>
  <c r="G166" i="3"/>
  <c r="H166" i="3"/>
  <c r="I166" i="3"/>
  <c r="J166" i="3"/>
  <c r="M166" i="3"/>
  <c r="J127" i="3"/>
  <c r="I125" i="3"/>
  <c r="H125" i="3"/>
  <c r="I123" i="3"/>
  <c r="H123" i="3"/>
  <c r="H127" i="3" s="1"/>
  <c r="G123" i="3"/>
  <c r="G127" i="3" s="1"/>
  <c r="F123" i="3"/>
  <c r="F127" i="3" s="1"/>
  <c r="J832" i="3"/>
  <c r="J833" i="3" s="1"/>
  <c r="I832" i="3"/>
  <c r="I833" i="3" s="1"/>
  <c r="H832" i="3"/>
  <c r="H833" i="3" s="1"/>
  <c r="G832" i="3"/>
  <c r="G833" i="3" s="1"/>
  <c r="F832" i="3"/>
  <c r="F833" i="3" s="1"/>
  <c r="J773" i="3"/>
  <c r="I771" i="3"/>
  <c r="H771" i="3"/>
  <c r="I769" i="3"/>
  <c r="I773" i="3" s="1"/>
  <c r="H769" i="3"/>
  <c r="H773" i="3" s="1"/>
  <c r="G769" i="3"/>
  <c r="G773" i="3" s="1"/>
  <c r="F769" i="3"/>
  <c r="F773" i="3" s="1"/>
  <c r="I553" i="3"/>
  <c r="H553" i="3"/>
  <c r="I552" i="3"/>
  <c r="G552" i="3"/>
  <c r="I551" i="3"/>
  <c r="H551" i="3"/>
  <c r="F551" i="3"/>
  <c r="I549" i="3"/>
  <c r="H549" i="3"/>
  <c r="F549" i="3"/>
  <c r="I547" i="3"/>
  <c r="G547" i="3"/>
  <c r="F547" i="3"/>
  <c r="J337" i="3"/>
  <c r="I335" i="3"/>
  <c r="H335" i="3"/>
  <c r="I333" i="3"/>
  <c r="I337" i="3" s="1"/>
  <c r="H333" i="3"/>
  <c r="H337" i="3" s="1"/>
  <c r="G333" i="3"/>
  <c r="G337" i="3" s="1"/>
  <c r="F333" i="3"/>
  <c r="F337" i="3" s="1"/>
  <c r="I64" i="3"/>
  <c r="H64" i="3"/>
  <c r="G64" i="3"/>
  <c r="F64" i="3"/>
  <c r="I63" i="3"/>
  <c r="G63" i="3"/>
  <c r="I62" i="3"/>
  <c r="H62" i="3"/>
  <c r="G62" i="3"/>
  <c r="F62" i="3"/>
  <c r="I61" i="3"/>
  <c r="H61" i="3"/>
  <c r="G61" i="3"/>
  <c r="F61" i="3"/>
  <c r="J60" i="3"/>
  <c r="I60" i="3"/>
  <c r="H60" i="3"/>
  <c r="G60" i="3"/>
  <c r="F60" i="3"/>
  <c r="J59" i="3"/>
  <c r="I59" i="3"/>
  <c r="H59" i="3"/>
  <c r="G59" i="3"/>
  <c r="F59" i="3"/>
  <c r="J58" i="3"/>
  <c r="I58" i="3"/>
  <c r="H58" i="3"/>
  <c r="F58" i="3"/>
  <c r="J57" i="3"/>
  <c r="I57" i="3"/>
  <c r="G57" i="3"/>
  <c r="F57" i="3"/>
  <c r="H8" i="5"/>
  <c r="G8" i="5"/>
  <c r="H7" i="5"/>
  <c r="F7" i="5"/>
  <c r="H6" i="5"/>
  <c r="G6" i="5"/>
  <c r="E6" i="5"/>
  <c r="H4" i="5"/>
  <c r="G4" i="5"/>
  <c r="E4" i="5"/>
  <c r="H2" i="5"/>
  <c r="F2" i="5"/>
  <c r="E2" i="5"/>
  <c r="I127" i="3" l="1"/>
  <c r="F66" i="3"/>
  <c r="G66" i="3"/>
  <c r="J66" i="3"/>
  <c r="H66" i="3"/>
  <c r="I66" i="3"/>
  <c r="I765" i="3"/>
  <c r="H765" i="3"/>
  <c r="G765" i="3"/>
  <c r="F765" i="3"/>
  <c r="I764" i="3"/>
  <c r="H764" i="3"/>
  <c r="G764" i="3"/>
  <c r="F764" i="3"/>
  <c r="J901" i="3" l="1"/>
  <c r="J902" i="3"/>
  <c r="G902" i="3"/>
  <c r="F902" i="3"/>
  <c r="J582" i="3" l="1"/>
  <c r="I582" i="3"/>
  <c r="H582" i="3"/>
  <c r="G582" i="3"/>
  <c r="F582" i="3"/>
  <c r="J521" i="3" l="1"/>
  <c r="I521" i="3"/>
  <c r="H521" i="3"/>
  <c r="G521" i="3"/>
  <c r="F521" i="3"/>
  <c r="J494" i="3"/>
  <c r="I494" i="3"/>
  <c r="H494" i="3"/>
  <c r="G494" i="3"/>
  <c r="F494" i="3"/>
  <c r="J485" i="3"/>
  <c r="I485" i="3"/>
  <c r="H485" i="3"/>
  <c r="G485" i="3"/>
  <c r="F485" i="3"/>
  <c r="J435" i="3"/>
  <c r="J437" i="3" s="1"/>
  <c r="I435" i="3"/>
  <c r="I437" i="3" s="1"/>
  <c r="H435" i="3"/>
  <c r="H437" i="3" s="1"/>
  <c r="G435" i="3"/>
  <c r="G437" i="3" s="1"/>
  <c r="F435" i="3"/>
  <c r="F437" i="3" s="1"/>
  <c r="G495" i="3" l="1"/>
  <c r="I495" i="3"/>
  <c r="F528" i="3"/>
  <c r="H528" i="3"/>
  <c r="J528" i="3"/>
  <c r="G528" i="3"/>
  <c r="I528" i="3"/>
  <c r="F495" i="3"/>
  <c r="F509" i="3" s="1"/>
  <c r="H495" i="3"/>
  <c r="J495" i="3"/>
  <c r="J222" i="3"/>
  <c r="I222" i="3"/>
  <c r="H222" i="3"/>
  <c r="G222" i="3"/>
  <c r="F222" i="3"/>
  <c r="J214" i="3"/>
  <c r="J227" i="3" s="1"/>
  <c r="I214" i="3"/>
  <c r="H214" i="3"/>
  <c r="H227" i="3" s="1"/>
  <c r="G214" i="3"/>
  <c r="F214" i="3"/>
  <c r="F96" i="3"/>
  <c r="G96" i="3"/>
  <c r="H96" i="3"/>
  <c r="I96" i="3"/>
  <c r="J96" i="3"/>
  <c r="F105" i="3"/>
  <c r="G105" i="3"/>
  <c r="H105" i="3"/>
  <c r="I105" i="3"/>
  <c r="J105" i="3"/>
  <c r="F117" i="3"/>
  <c r="G117" i="3"/>
  <c r="G130" i="3" s="1"/>
  <c r="H117" i="3"/>
  <c r="I117" i="3"/>
  <c r="J117" i="3"/>
  <c r="F121" i="3"/>
  <c r="G121" i="3"/>
  <c r="H121" i="3"/>
  <c r="I121" i="3"/>
  <c r="J121" i="3"/>
  <c r="M101" i="3"/>
  <c r="M102" i="3"/>
  <c r="M103" i="3"/>
  <c r="M104" i="3"/>
  <c r="J22" i="3"/>
  <c r="I22" i="3"/>
  <c r="H22" i="3"/>
  <c r="G22" i="3"/>
  <c r="F22" i="3"/>
  <c r="J16" i="3"/>
  <c r="I16" i="3"/>
  <c r="H16" i="3"/>
  <c r="G16" i="3"/>
  <c r="F16" i="3"/>
  <c r="J7" i="3"/>
  <c r="J12" i="3" s="1"/>
  <c r="I7" i="3"/>
  <c r="H7" i="3"/>
  <c r="G7" i="3"/>
  <c r="G23" i="3" s="1"/>
  <c r="F7" i="3"/>
  <c r="I6" i="3"/>
  <c r="I12" i="3" s="1"/>
  <c r="H6" i="3"/>
  <c r="G6" i="3"/>
  <c r="F6" i="3"/>
  <c r="F12" i="3" s="1"/>
  <c r="H23" i="3"/>
  <c r="I23" i="3"/>
  <c r="J23" i="3"/>
  <c r="M6" i="3"/>
  <c r="M7" i="3"/>
  <c r="M11" i="3"/>
  <c r="M12" i="3"/>
  <c r="M13" i="3"/>
  <c r="G12" i="3" l="1"/>
  <c r="H12" i="3"/>
  <c r="F227" i="3"/>
  <c r="I130" i="3"/>
  <c r="H130" i="3"/>
  <c r="F130" i="3"/>
  <c r="G227" i="3"/>
  <c r="I227" i="3"/>
  <c r="M105" i="3"/>
  <c r="M106" i="3" s="1"/>
  <c r="G97" i="3"/>
  <c r="G106" i="3"/>
  <c r="I97" i="3"/>
  <c r="I106" i="3"/>
  <c r="F97" i="3"/>
  <c r="F106" i="3"/>
  <c r="H97" i="3"/>
  <c r="H106" i="3"/>
  <c r="J97" i="3"/>
  <c r="J106" i="3"/>
  <c r="M14" i="3"/>
  <c r="M23" i="3" s="1"/>
  <c r="F23" i="3"/>
  <c r="H901" i="3"/>
  <c r="H902" i="3" s="1"/>
  <c r="J530" i="3"/>
  <c r="I530" i="3"/>
  <c r="H530" i="3"/>
  <c r="G530" i="3"/>
  <c r="F530" i="3"/>
  <c r="J187" i="3" l="1"/>
  <c r="I187" i="3"/>
  <c r="F187" i="3"/>
  <c r="J883" i="3"/>
  <c r="I883" i="3"/>
  <c r="H883" i="3"/>
  <c r="G883" i="3"/>
  <c r="F883" i="3"/>
  <c r="F790" i="3"/>
  <c r="G790" i="3"/>
  <c r="H790" i="3"/>
  <c r="I790" i="3"/>
  <c r="J790" i="3"/>
  <c r="F793" i="3"/>
  <c r="F797" i="3" s="1"/>
  <c r="G793" i="3"/>
  <c r="G797" i="3" s="1"/>
  <c r="H793" i="3"/>
  <c r="H797" i="3" s="1"/>
  <c r="I793" i="3"/>
  <c r="I797" i="3" s="1"/>
  <c r="F814" i="3"/>
  <c r="G814" i="3"/>
  <c r="H814" i="3"/>
  <c r="I814" i="3"/>
  <c r="J814" i="3"/>
  <c r="H865" i="3"/>
  <c r="F867" i="3"/>
  <c r="G867" i="3"/>
  <c r="I867" i="3"/>
  <c r="J867" i="3"/>
  <c r="J719" i="3"/>
  <c r="I719" i="3"/>
  <c r="H719" i="3"/>
  <c r="G719" i="3"/>
  <c r="F719" i="3"/>
  <c r="J710" i="3"/>
  <c r="I710" i="3"/>
  <c r="H710" i="3"/>
  <c r="G710" i="3"/>
  <c r="F710" i="3"/>
  <c r="J684" i="3"/>
  <c r="I684" i="3"/>
  <c r="H684" i="3"/>
  <c r="G684" i="3"/>
  <c r="F684" i="3"/>
  <c r="J668" i="3"/>
  <c r="I668" i="3"/>
  <c r="H668" i="3"/>
  <c r="G668" i="3"/>
  <c r="F668" i="3"/>
  <c r="J431" i="1"/>
  <c r="I431" i="1"/>
  <c r="H431" i="1"/>
  <c r="G431" i="1"/>
  <c r="F431" i="1"/>
  <c r="H453" i="3"/>
  <c r="J447" i="3"/>
  <c r="J325" i="3"/>
  <c r="J327" i="3" s="1"/>
  <c r="I325" i="3"/>
  <c r="H325" i="3"/>
  <c r="G325" i="3"/>
  <c r="F325" i="3"/>
  <c r="J816" i="3" l="1"/>
  <c r="I816" i="3"/>
  <c r="H816" i="3"/>
  <c r="G816" i="3"/>
  <c r="F816" i="3"/>
  <c r="F672" i="3"/>
  <c r="G672" i="3"/>
  <c r="H672" i="3"/>
  <c r="I672" i="3"/>
  <c r="J672" i="3"/>
  <c r="J654" i="3"/>
  <c r="I654" i="3"/>
  <c r="H654" i="3"/>
  <c r="G654" i="3"/>
  <c r="F654" i="3"/>
  <c r="F449" i="3"/>
  <c r="F453" i="3" s="1"/>
  <c r="G449" i="3"/>
  <c r="I449" i="3"/>
  <c r="J449" i="3"/>
  <c r="J453" i="3" s="1"/>
  <c r="G450" i="3"/>
  <c r="I450" i="3"/>
  <c r="I452" i="3"/>
  <c r="I444" i="3"/>
  <c r="G444" i="3"/>
  <c r="I443" i="3"/>
  <c r="H443" i="3"/>
  <c r="F443" i="3"/>
  <c r="I442" i="3"/>
  <c r="H442" i="3"/>
  <c r="F442" i="3"/>
  <c r="I441" i="3"/>
  <c r="H441" i="3"/>
  <c r="G441" i="3"/>
  <c r="F441" i="3"/>
  <c r="I440" i="3"/>
  <c r="H440" i="3"/>
  <c r="G440" i="3"/>
  <c r="F440" i="3"/>
  <c r="G456" i="3"/>
  <c r="I456" i="3"/>
  <c r="F457" i="3"/>
  <c r="G457" i="3"/>
  <c r="H457" i="3"/>
  <c r="I457" i="3"/>
  <c r="F458" i="3"/>
  <c r="H458" i="3"/>
  <c r="I458" i="3"/>
  <c r="J458" i="3"/>
  <c r="F459" i="3"/>
  <c r="G459" i="3"/>
  <c r="H459" i="3"/>
  <c r="I459" i="3"/>
  <c r="J459" i="3"/>
  <c r="F460" i="3"/>
  <c r="G460" i="3"/>
  <c r="H460" i="3"/>
  <c r="I460" i="3"/>
  <c r="J460" i="3"/>
  <c r="H461" i="3"/>
  <c r="I461" i="3"/>
  <c r="F466" i="3"/>
  <c r="G466" i="3"/>
  <c r="H466" i="3"/>
  <c r="I466" i="3"/>
  <c r="F475" i="3"/>
  <c r="G475" i="3"/>
  <c r="H475" i="3"/>
  <c r="I475" i="3"/>
  <c r="J475" i="3"/>
  <c r="M903" i="3"/>
  <c r="I901" i="3"/>
  <c r="I902" i="3" s="1"/>
  <c r="G901" i="3"/>
  <c r="F901" i="3"/>
  <c r="M900" i="3"/>
  <c r="M899" i="3"/>
  <c r="M898" i="3"/>
  <c r="M897" i="3"/>
  <c r="M894" i="3"/>
  <c r="M893" i="3"/>
  <c r="M892" i="3"/>
  <c r="M888" i="3"/>
  <c r="M883" i="3"/>
  <c r="I874" i="3"/>
  <c r="H874" i="3"/>
  <c r="G874" i="3"/>
  <c r="F874" i="3"/>
  <c r="I873" i="3"/>
  <c r="G873" i="3"/>
  <c r="I871" i="3"/>
  <c r="G871" i="3"/>
  <c r="I870" i="3"/>
  <c r="H870" i="3"/>
  <c r="G870" i="3"/>
  <c r="F870" i="3"/>
  <c r="I868" i="3"/>
  <c r="H868" i="3"/>
  <c r="G868" i="3"/>
  <c r="F868" i="3"/>
  <c r="J875" i="3"/>
  <c r="M866" i="3"/>
  <c r="M848" i="3"/>
  <c r="M847" i="3"/>
  <c r="J846" i="3"/>
  <c r="I846" i="3"/>
  <c r="H846" i="3"/>
  <c r="G846" i="3"/>
  <c r="F846" i="3"/>
  <c r="M845" i="3"/>
  <c r="M844" i="3"/>
  <c r="M842" i="3"/>
  <c r="M841" i="3"/>
  <c r="M840" i="3"/>
  <c r="M839" i="3"/>
  <c r="J839" i="3"/>
  <c r="I839" i="3"/>
  <c r="H839" i="3"/>
  <c r="G839" i="3"/>
  <c r="F839" i="3"/>
  <c r="M838" i="3"/>
  <c r="I838" i="3"/>
  <c r="H838" i="3"/>
  <c r="G838" i="3"/>
  <c r="F838" i="3"/>
  <c r="J837" i="3"/>
  <c r="M829" i="3"/>
  <c r="M828" i="3"/>
  <c r="M827" i="3"/>
  <c r="M815" i="3"/>
  <c r="M813" i="3"/>
  <c r="M812" i="3"/>
  <c r="M811" i="3"/>
  <c r="M809" i="3"/>
  <c r="M803" i="3"/>
  <c r="M800" i="3"/>
  <c r="M799" i="3"/>
  <c r="M796" i="3"/>
  <c r="M795" i="3"/>
  <c r="M794" i="3"/>
  <c r="M793" i="3"/>
  <c r="M792" i="3"/>
  <c r="M791" i="3"/>
  <c r="J865" i="3"/>
  <c r="I865" i="3"/>
  <c r="G865" i="3"/>
  <c r="F865" i="3"/>
  <c r="M790" i="3"/>
  <c r="M789" i="3"/>
  <c r="M788" i="3"/>
  <c r="M786" i="3"/>
  <c r="M785" i="3"/>
  <c r="M784" i="3"/>
  <c r="M783" i="3"/>
  <c r="M777" i="3"/>
  <c r="M778" i="3" s="1"/>
  <c r="J776" i="3"/>
  <c r="I776" i="3"/>
  <c r="H776" i="3"/>
  <c r="J775" i="3"/>
  <c r="I775" i="3"/>
  <c r="H775" i="3"/>
  <c r="G775" i="3"/>
  <c r="F775" i="3"/>
  <c r="J763" i="3"/>
  <c r="J766" i="3" s="1"/>
  <c r="I763" i="3"/>
  <c r="I766" i="3" s="1"/>
  <c r="H763" i="3"/>
  <c r="H766" i="3" s="1"/>
  <c r="G763" i="3"/>
  <c r="G766" i="3" s="1"/>
  <c r="F763" i="3"/>
  <c r="F766" i="3" s="1"/>
  <c r="M755" i="3"/>
  <c r="J755" i="3"/>
  <c r="J756" i="3" s="1"/>
  <c r="I755" i="3"/>
  <c r="I756" i="3" s="1"/>
  <c r="H755" i="3"/>
  <c r="H756" i="3" s="1"/>
  <c r="G755" i="3"/>
  <c r="G756" i="3" s="1"/>
  <c r="F755" i="3"/>
  <c r="F756" i="3" s="1"/>
  <c r="M754" i="3"/>
  <c r="M753" i="3"/>
  <c r="M752" i="3"/>
  <c r="M749" i="3"/>
  <c r="M748" i="3"/>
  <c r="M747" i="3"/>
  <c r="M746" i="3"/>
  <c r="M745" i="3"/>
  <c r="M744" i="3"/>
  <c r="M731" i="3"/>
  <c r="M730" i="3"/>
  <c r="M729" i="3"/>
  <c r="M728" i="3"/>
  <c r="M727" i="3"/>
  <c r="J725" i="3"/>
  <c r="I725" i="3"/>
  <c r="H725" i="3"/>
  <c r="G725" i="3"/>
  <c r="F725" i="3"/>
  <c r="M724" i="3"/>
  <c r="M722" i="3"/>
  <c r="M721" i="3"/>
  <c r="M718" i="3"/>
  <c r="M716" i="3"/>
  <c r="M715" i="3"/>
  <c r="M714" i="3"/>
  <c r="M713" i="3"/>
  <c r="M712" i="3"/>
  <c r="M711" i="3"/>
  <c r="M704" i="3"/>
  <c r="M703" i="3"/>
  <c r="M702" i="3"/>
  <c r="J700" i="3"/>
  <c r="J732" i="3" s="1"/>
  <c r="I700" i="3"/>
  <c r="I732" i="3" s="1"/>
  <c r="H700" i="3"/>
  <c r="H732" i="3" s="1"/>
  <c r="G700" i="3"/>
  <c r="F700" i="3"/>
  <c r="M699" i="3"/>
  <c r="M698" i="3"/>
  <c r="M697" i="3"/>
  <c r="M696" i="3"/>
  <c r="M695" i="3"/>
  <c r="M694" i="3"/>
  <c r="M693" i="3"/>
  <c r="M692" i="3"/>
  <c r="M691" i="3"/>
  <c r="M690" i="3"/>
  <c r="M689" i="3"/>
  <c r="M688" i="3"/>
  <c r="M680" i="3"/>
  <c r="J679" i="3"/>
  <c r="I679" i="3"/>
  <c r="I685" i="3" s="1"/>
  <c r="H679" i="3"/>
  <c r="G679" i="3"/>
  <c r="F679" i="3"/>
  <c r="M678" i="3"/>
  <c r="M677" i="3"/>
  <c r="M676" i="3"/>
  <c r="M671" i="3"/>
  <c r="M670" i="3"/>
  <c r="M661" i="3"/>
  <c r="M660" i="3"/>
  <c r="M651" i="3"/>
  <c r="M650" i="3"/>
  <c r="M649" i="3"/>
  <c r="I649" i="3"/>
  <c r="H649" i="3"/>
  <c r="G649" i="3"/>
  <c r="F649" i="3"/>
  <c r="M648" i="3"/>
  <c r="I648" i="3"/>
  <c r="H648" i="3"/>
  <c r="G648" i="3"/>
  <c r="F648" i="3"/>
  <c r="M647" i="3"/>
  <c r="J647" i="3"/>
  <c r="J653" i="3" s="1"/>
  <c r="I647" i="3"/>
  <c r="H647" i="3"/>
  <c r="G647" i="3"/>
  <c r="F647" i="3"/>
  <c r="M646" i="3"/>
  <c r="M644" i="3"/>
  <c r="M643" i="3"/>
  <c r="M642" i="3"/>
  <c r="M641" i="3"/>
  <c r="M640" i="3"/>
  <c r="J645" i="3"/>
  <c r="I645" i="3"/>
  <c r="H645" i="3"/>
  <c r="M636" i="3"/>
  <c r="J635" i="3"/>
  <c r="I635" i="3"/>
  <c r="H635" i="3"/>
  <c r="G635" i="3"/>
  <c r="F635" i="3"/>
  <c r="M634" i="3"/>
  <c r="M633" i="3"/>
  <c r="M632" i="3"/>
  <c r="J162" i="3"/>
  <c r="I162" i="3"/>
  <c r="H162" i="3"/>
  <c r="G162" i="3"/>
  <c r="F162" i="3"/>
  <c r="M629" i="3"/>
  <c r="M628" i="3"/>
  <c r="M627" i="3"/>
  <c r="M626" i="3"/>
  <c r="M625" i="3"/>
  <c r="M624" i="3"/>
  <c r="M623" i="3"/>
  <c r="J621" i="3"/>
  <c r="M620" i="3"/>
  <c r="M619" i="3"/>
  <c r="M618" i="3"/>
  <c r="I618" i="3"/>
  <c r="G618" i="3"/>
  <c r="M617" i="3"/>
  <c r="I617" i="3"/>
  <c r="H617" i="3"/>
  <c r="F617" i="3"/>
  <c r="M616" i="3"/>
  <c r="I616" i="3"/>
  <c r="H616" i="3"/>
  <c r="F616" i="3"/>
  <c r="M615" i="3"/>
  <c r="I615" i="3"/>
  <c r="H615" i="3"/>
  <c r="G615" i="3"/>
  <c r="F615" i="3"/>
  <c r="M614" i="3"/>
  <c r="I614" i="3"/>
  <c r="H614" i="3"/>
  <c r="G614" i="3"/>
  <c r="F614" i="3"/>
  <c r="I607" i="3"/>
  <c r="H607" i="3"/>
  <c r="G607" i="3"/>
  <c r="F607" i="3"/>
  <c r="M606" i="3"/>
  <c r="M605" i="3"/>
  <c r="M604" i="3"/>
  <c r="M599" i="3"/>
  <c r="M598" i="3"/>
  <c r="I598" i="3"/>
  <c r="H598" i="3"/>
  <c r="M597" i="3"/>
  <c r="M596" i="3"/>
  <c r="J596" i="3"/>
  <c r="J600" i="3" s="1"/>
  <c r="J611" i="3" s="1"/>
  <c r="I596" i="3"/>
  <c r="H596" i="3"/>
  <c r="G596" i="3"/>
  <c r="F596" i="3"/>
  <c r="M595" i="3"/>
  <c r="I595" i="3"/>
  <c r="H595" i="3"/>
  <c r="G595" i="3"/>
  <c r="F595" i="3"/>
  <c r="J589" i="3"/>
  <c r="J590" i="3" s="1"/>
  <c r="I589" i="3"/>
  <c r="I590" i="3" s="1"/>
  <c r="H589" i="3"/>
  <c r="H590" i="3" s="1"/>
  <c r="G589" i="3"/>
  <c r="G590" i="3" s="1"/>
  <c r="F589" i="3"/>
  <c r="F590" i="3" s="1"/>
  <c r="M588" i="3"/>
  <c r="M587" i="3"/>
  <c r="M586" i="3"/>
  <c r="M585" i="3"/>
  <c r="M569" i="3"/>
  <c r="J568" i="3"/>
  <c r="I568" i="3"/>
  <c r="H568" i="3"/>
  <c r="G568" i="3"/>
  <c r="F568" i="3"/>
  <c r="M567" i="3"/>
  <c r="M566" i="3"/>
  <c r="M565" i="3"/>
  <c r="J561" i="3"/>
  <c r="J563" i="3" s="1"/>
  <c r="I561" i="3"/>
  <c r="H561" i="3"/>
  <c r="H563" i="3" s="1"/>
  <c r="G561" i="3"/>
  <c r="F561" i="3"/>
  <c r="F563" i="3" s="1"/>
  <c r="J545" i="3"/>
  <c r="I545" i="3"/>
  <c r="H545" i="3"/>
  <c r="G545" i="3"/>
  <c r="F545" i="3"/>
  <c r="M543" i="3"/>
  <c r="M542" i="3"/>
  <c r="M541" i="3"/>
  <c r="M540" i="3"/>
  <c r="M539" i="3"/>
  <c r="M538" i="3"/>
  <c r="M537" i="3"/>
  <c r="M536" i="3"/>
  <c r="M535" i="3"/>
  <c r="M534" i="3"/>
  <c r="M533" i="3"/>
  <c r="M529" i="3"/>
  <c r="M528" i="3"/>
  <c r="M526" i="3"/>
  <c r="M525" i="3"/>
  <c r="M518" i="3"/>
  <c r="M517" i="3"/>
  <c r="M516" i="3"/>
  <c r="M515" i="3"/>
  <c r="M514" i="3"/>
  <c r="M513" i="3"/>
  <c r="M476" i="3"/>
  <c r="M474" i="3"/>
  <c r="M473" i="3"/>
  <c r="M472" i="3"/>
  <c r="M462" i="3"/>
  <c r="M461" i="3"/>
  <c r="M460" i="3"/>
  <c r="M459" i="3"/>
  <c r="M458" i="3"/>
  <c r="M457" i="3"/>
  <c r="M454" i="3"/>
  <c r="M452" i="3"/>
  <c r="M451" i="3"/>
  <c r="M450" i="3"/>
  <c r="M449" i="3"/>
  <c r="M445" i="3"/>
  <c r="M444" i="3"/>
  <c r="M443" i="3"/>
  <c r="M442" i="3"/>
  <c r="M441" i="3"/>
  <c r="M440" i="3"/>
  <c r="M434" i="3"/>
  <c r="M426" i="3"/>
  <c r="I407" i="3"/>
  <c r="H407" i="3"/>
  <c r="G407" i="3"/>
  <c r="F407" i="3"/>
  <c r="I406" i="3"/>
  <c r="H406" i="3"/>
  <c r="G406" i="3"/>
  <c r="F406" i="3"/>
  <c r="J405" i="3"/>
  <c r="J411" i="3" s="1"/>
  <c r="I405" i="3"/>
  <c r="H405" i="3"/>
  <c r="G405" i="3"/>
  <c r="F405" i="3"/>
  <c r="M401" i="3"/>
  <c r="J401" i="3"/>
  <c r="J402" i="3" s="1"/>
  <c r="I401" i="3"/>
  <c r="H401" i="3"/>
  <c r="G401" i="3"/>
  <c r="F401" i="3"/>
  <c r="M398" i="3"/>
  <c r="M397" i="3"/>
  <c r="M396" i="3"/>
  <c r="I394" i="3"/>
  <c r="H394" i="3"/>
  <c r="G394" i="3"/>
  <c r="F394" i="3"/>
  <c r="M389" i="3"/>
  <c r="J388" i="3"/>
  <c r="I388" i="3"/>
  <c r="H388" i="3"/>
  <c r="G388" i="3"/>
  <c r="F388" i="3"/>
  <c r="M387" i="3"/>
  <c r="M386" i="3"/>
  <c r="M385" i="3"/>
  <c r="I365" i="3"/>
  <c r="H365" i="3"/>
  <c r="G365" i="3"/>
  <c r="F365" i="3"/>
  <c r="M364" i="3"/>
  <c r="M363" i="3"/>
  <c r="J363" i="3"/>
  <c r="I363" i="3"/>
  <c r="H363" i="3"/>
  <c r="F363" i="3"/>
  <c r="J362" i="3"/>
  <c r="I362" i="3"/>
  <c r="H362" i="3"/>
  <c r="F362" i="3"/>
  <c r="M361" i="3"/>
  <c r="J361" i="3"/>
  <c r="I361" i="3"/>
  <c r="H361" i="3"/>
  <c r="F361" i="3"/>
  <c r="M360" i="3"/>
  <c r="J360" i="3"/>
  <c r="I360" i="3"/>
  <c r="H360" i="3"/>
  <c r="G360" i="3"/>
  <c r="F360" i="3"/>
  <c r="M359" i="3"/>
  <c r="I359" i="3"/>
  <c r="G359" i="3"/>
  <c r="M358" i="3"/>
  <c r="J358" i="3"/>
  <c r="I358" i="3"/>
  <c r="G358" i="3"/>
  <c r="F358" i="3"/>
  <c r="J355" i="3"/>
  <c r="I355" i="3"/>
  <c r="H355" i="3"/>
  <c r="G355" i="3"/>
  <c r="F355" i="3"/>
  <c r="M354" i="3"/>
  <c r="M353" i="3"/>
  <c r="M352" i="3"/>
  <c r="M351" i="3"/>
  <c r="M350" i="3"/>
  <c r="I350" i="3"/>
  <c r="G350" i="3"/>
  <c r="M349" i="3"/>
  <c r="J349" i="3"/>
  <c r="I349" i="3"/>
  <c r="H349" i="3"/>
  <c r="F349" i="3"/>
  <c r="M348" i="3"/>
  <c r="J348" i="3"/>
  <c r="I348" i="3"/>
  <c r="H348" i="3"/>
  <c r="F348" i="3"/>
  <c r="M347" i="3"/>
  <c r="J347" i="3"/>
  <c r="I347" i="3"/>
  <c r="H347" i="3"/>
  <c r="F347" i="3"/>
  <c r="M346" i="3"/>
  <c r="J346" i="3"/>
  <c r="I346" i="3"/>
  <c r="H346" i="3"/>
  <c r="G346" i="3"/>
  <c r="F346" i="3"/>
  <c r="M345" i="3"/>
  <c r="J345" i="3"/>
  <c r="I345" i="3"/>
  <c r="H345" i="3"/>
  <c r="G345" i="3"/>
  <c r="F345" i="3"/>
  <c r="M344" i="3"/>
  <c r="J344" i="3"/>
  <c r="I344" i="3"/>
  <c r="H344" i="3"/>
  <c r="G344" i="3"/>
  <c r="G356" i="3" s="1"/>
  <c r="F344" i="3"/>
  <c r="J412" i="3"/>
  <c r="I412" i="3"/>
  <c r="H412" i="3"/>
  <c r="G412" i="3"/>
  <c r="F412" i="3"/>
  <c r="M341" i="3"/>
  <c r="M337" i="3"/>
  <c r="M336" i="3"/>
  <c r="M335" i="3"/>
  <c r="M334" i="3"/>
  <c r="J331" i="3"/>
  <c r="I331" i="3"/>
  <c r="H331" i="3"/>
  <c r="G331" i="3"/>
  <c r="F331" i="3"/>
  <c r="M330" i="3"/>
  <c r="M329" i="3"/>
  <c r="M323" i="3"/>
  <c r="M322" i="3"/>
  <c r="M321" i="3"/>
  <c r="M320" i="3"/>
  <c r="J302" i="3"/>
  <c r="J303" i="3" s="1"/>
  <c r="I302" i="3"/>
  <c r="I303" i="3" s="1"/>
  <c r="H302" i="3"/>
  <c r="H303" i="3" s="1"/>
  <c r="G302" i="3"/>
  <c r="G303" i="3" s="1"/>
  <c r="F302" i="3"/>
  <c r="F303" i="3" s="1"/>
  <c r="M301" i="3"/>
  <c r="M300" i="3"/>
  <c r="M299" i="3"/>
  <c r="M295" i="3"/>
  <c r="M294" i="3"/>
  <c r="M293" i="3"/>
  <c r="M292" i="3"/>
  <c r="M291" i="3"/>
  <c r="M290" i="3"/>
  <c r="M274" i="3"/>
  <c r="M273" i="3"/>
  <c r="I273" i="3"/>
  <c r="H273" i="3"/>
  <c r="G273" i="3"/>
  <c r="F273" i="3"/>
  <c r="M272" i="3"/>
  <c r="I272" i="3"/>
  <c r="H272" i="3"/>
  <c r="G272" i="3"/>
  <c r="F272" i="3"/>
  <c r="J271" i="3"/>
  <c r="M268" i="3"/>
  <c r="M266" i="3"/>
  <c r="M265" i="3"/>
  <c r="M264" i="3"/>
  <c r="M260" i="3"/>
  <c r="M259" i="3"/>
  <c r="M258" i="3"/>
  <c r="M255" i="3"/>
  <c r="M254" i="3"/>
  <c r="M253" i="3"/>
  <c r="M252" i="3"/>
  <c r="M251" i="3"/>
  <c r="M250" i="3"/>
  <c r="M249" i="3"/>
  <c r="M248" i="3"/>
  <c r="M247" i="3"/>
  <c r="M242" i="3"/>
  <c r="M241" i="3"/>
  <c r="M240" i="3"/>
  <c r="M239" i="3"/>
  <c r="M238" i="3"/>
  <c r="M237" i="3"/>
  <c r="M236" i="3"/>
  <c r="M269" i="3" s="1"/>
  <c r="M316" i="3" s="1"/>
  <c r="J223" i="3"/>
  <c r="G223" i="3"/>
  <c r="F223" i="3"/>
  <c r="M217" i="3"/>
  <c r="M216" i="3"/>
  <c r="I223" i="3"/>
  <c r="H223" i="3"/>
  <c r="M213" i="3"/>
  <c r="M210" i="3"/>
  <c r="M209" i="3"/>
  <c r="M208" i="3"/>
  <c r="M207" i="3"/>
  <c r="M186" i="3"/>
  <c r="M184" i="3"/>
  <c r="M183" i="3"/>
  <c r="M182" i="3"/>
  <c r="H182" i="3"/>
  <c r="H187" i="3" s="1"/>
  <c r="G182" i="3"/>
  <c r="G187" i="3" s="1"/>
  <c r="M177" i="3"/>
  <c r="J176" i="3"/>
  <c r="J151" i="3" s="1"/>
  <c r="J178" i="3" s="1"/>
  <c r="I176" i="3"/>
  <c r="H176" i="3"/>
  <c r="G176" i="3"/>
  <c r="F176" i="3"/>
  <c r="M175" i="3"/>
  <c r="M174" i="3"/>
  <c r="M173" i="3"/>
  <c r="M165" i="3"/>
  <c r="M164" i="3"/>
  <c r="I151" i="3"/>
  <c r="I178" i="3" s="1"/>
  <c r="H151" i="3"/>
  <c r="G151" i="3"/>
  <c r="F151" i="3"/>
  <c r="M150" i="3"/>
  <c r="M149" i="3"/>
  <c r="M148" i="3"/>
  <c r="M147" i="3"/>
  <c r="M146" i="3"/>
  <c r="M145" i="3"/>
  <c r="M144" i="3"/>
  <c r="M143" i="3"/>
  <c r="M142" i="3"/>
  <c r="M141" i="3"/>
  <c r="M140" i="3"/>
  <c r="M135" i="3"/>
  <c r="J180" i="3"/>
  <c r="J188" i="3" s="1"/>
  <c r="I180" i="3"/>
  <c r="I188" i="3" s="1"/>
  <c r="H180" i="3"/>
  <c r="H188" i="3" s="1"/>
  <c r="G180" i="3"/>
  <c r="F180" i="3"/>
  <c r="F188" i="3" s="1"/>
  <c r="M127" i="3"/>
  <c r="M126" i="3"/>
  <c r="M125" i="3"/>
  <c r="M124" i="3"/>
  <c r="M120" i="3"/>
  <c r="M119" i="3"/>
  <c r="J130" i="3"/>
  <c r="M116" i="3"/>
  <c r="M115" i="3"/>
  <c r="M114" i="3"/>
  <c r="M113" i="3"/>
  <c r="M112" i="3"/>
  <c r="M111" i="3"/>
  <c r="M78" i="3"/>
  <c r="J77" i="3"/>
  <c r="I77" i="3"/>
  <c r="H77" i="3"/>
  <c r="G77" i="3"/>
  <c r="F77" i="3"/>
  <c r="M76" i="3"/>
  <c r="M75" i="3"/>
  <c r="M74" i="3"/>
  <c r="J72" i="3"/>
  <c r="I72" i="3"/>
  <c r="H72" i="3"/>
  <c r="G72" i="3"/>
  <c r="F72" i="3"/>
  <c r="M71" i="3"/>
  <c r="M70" i="3"/>
  <c r="M69" i="3"/>
  <c r="M68" i="3"/>
  <c r="M64" i="3"/>
  <c r="M63" i="3"/>
  <c r="M62" i="3"/>
  <c r="M61" i="3"/>
  <c r="M60" i="3"/>
  <c r="M59" i="3"/>
  <c r="M58" i="3"/>
  <c r="J55" i="3"/>
  <c r="J79" i="3" s="1"/>
  <c r="J107" i="3" s="1"/>
  <c r="I55" i="3"/>
  <c r="H55" i="3"/>
  <c r="G55" i="3"/>
  <c r="F55" i="3"/>
  <c r="M53" i="3"/>
  <c r="M52" i="3"/>
  <c r="M50" i="3"/>
  <c r="M49" i="3"/>
  <c r="M48" i="3"/>
  <c r="M47" i="3"/>
  <c r="M46" i="3"/>
  <c r="M42" i="3"/>
  <c r="J113" i="1"/>
  <c r="I113" i="1"/>
  <c r="H113" i="1"/>
  <c r="G113" i="1"/>
  <c r="F113" i="1"/>
  <c r="G178" i="3" l="1"/>
  <c r="G732" i="3"/>
  <c r="J655" i="3"/>
  <c r="J656" i="3" s="1"/>
  <c r="F732" i="3"/>
  <c r="J413" i="3"/>
  <c r="G188" i="3"/>
  <c r="F178" i="3"/>
  <c r="H178" i="3"/>
  <c r="J889" i="3"/>
  <c r="M338" i="3"/>
  <c r="I758" i="3"/>
  <c r="M128" i="3"/>
  <c r="F780" i="3"/>
  <c r="F834" i="3" s="1"/>
  <c r="H780" i="3"/>
  <c r="H834" i="3" s="1"/>
  <c r="J340" i="3"/>
  <c r="J637" i="3"/>
  <c r="J780" i="3"/>
  <c r="J834" i="3" s="1"/>
  <c r="G340" i="3"/>
  <c r="I340" i="3"/>
  <c r="H79" i="3"/>
  <c r="H107" i="3" s="1"/>
  <c r="G685" i="3"/>
  <c r="G758" i="3" s="1"/>
  <c r="J685" i="3"/>
  <c r="J758" i="3" s="1"/>
  <c r="H685" i="3"/>
  <c r="H758" i="3" s="1"/>
  <c r="F685" i="3"/>
  <c r="F758" i="3" s="1"/>
  <c r="J316" i="3"/>
  <c r="F340" i="3"/>
  <c r="H340" i="3"/>
  <c r="G780" i="3"/>
  <c r="I780" i="3"/>
  <c r="J850" i="3"/>
  <c r="F447" i="3"/>
  <c r="G79" i="3"/>
  <c r="G107" i="3" s="1"/>
  <c r="F79" i="3"/>
  <c r="F107" i="3" s="1"/>
  <c r="I79" i="3"/>
  <c r="I107" i="3" s="1"/>
  <c r="H447" i="3"/>
  <c r="I837" i="3"/>
  <c r="I850" i="3" s="1"/>
  <c r="M830" i="3"/>
  <c r="F837" i="3"/>
  <c r="F850" i="3" s="1"/>
  <c r="H837" i="3"/>
  <c r="H850" i="3" s="1"/>
  <c r="G837" i="3"/>
  <c r="G850" i="3" s="1"/>
  <c r="M846" i="3"/>
  <c r="G447" i="3"/>
  <c r="G366" i="3"/>
  <c r="G390" i="3" s="1"/>
  <c r="F366" i="3"/>
  <c r="I366" i="3"/>
  <c r="F556" i="3"/>
  <c r="F570" i="3" s="1"/>
  <c r="F591" i="3" s="1"/>
  <c r="I556" i="3"/>
  <c r="G600" i="3"/>
  <c r="G611" i="3" s="1"/>
  <c r="I600" i="3"/>
  <c r="I611" i="3" s="1"/>
  <c r="F645" i="3"/>
  <c r="F653" i="3"/>
  <c r="H653" i="3"/>
  <c r="H655" i="3" s="1"/>
  <c r="H656" i="3" s="1"/>
  <c r="F275" i="3"/>
  <c r="H275" i="3"/>
  <c r="J366" i="3"/>
  <c r="G402" i="3"/>
  <c r="I402" i="3"/>
  <c r="F411" i="3"/>
  <c r="H411" i="3"/>
  <c r="G556" i="3"/>
  <c r="J556" i="3"/>
  <c r="J570" i="3" s="1"/>
  <c r="J591" i="3" s="1"/>
  <c r="H556" i="3"/>
  <c r="H570" i="3" s="1"/>
  <c r="H591" i="3" s="1"/>
  <c r="F600" i="3"/>
  <c r="F611" i="3" s="1"/>
  <c r="H600" i="3"/>
  <c r="H611" i="3" s="1"/>
  <c r="G645" i="3"/>
  <c r="G653" i="3"/>
  <c r="I653" i="3"/>
  <c r="I655" i="3" s="1"/>
  <c r="I656" i="3" s="1"/>
  <c r="H366" i="3"/>
  <c r="F402" i="3"/>
  <c r="H402" i="3"/>
  <c r="G411" i="3"/>
  <c r="I411" i="3"/>
  <c r="I447" i="3"/>
  <c r="J464" i="3"/>
  <c r="J477" i="3" s="1"/>
  <c r="J509" i="3" s="1"/>
  <c r="I464" i="3"/>
  <c r="I453" i="3"/>
  <c r="H464" i="3"/>
  <c r="H477" i="3" s="1"/>
  <c r="H509" i="3" s="1"/>
  <c r="F464" i="3"/>
  <c r="F477" i="3" s="1"/>
  <c r="G464" i="3"/>
  <c r="G453" i="3"/>
  <c r="I271" i="3"/>
  <c r="M327" i="3"/>
  <c r="M679" i="3"/>
  <c r="M685" i="3" s="1"/>
  <c r="M700" i="3"/>
  <c r="M725" i="3"/>
  <c r="M756" i="3"/>
  <c r="M901" i="3"/>
  <c r="M365" i="3"/>
  <c r="M527" i="3"/>
  <c r="M544" i="3"/>
  <c r="F777" i="3"/>
  <c r="F778" i="3" s="1"/>
  <c r="I356" i="3"/>
  <c r="M356" i="3"/>
  <c r="H356" i="3"/>
  <c r="H390" i="3" s="1"/>
  <c r="M121" i="3"/>
  <c r="M162" i="3"/>
  <c r="M256" i="3"/>
  <c r="F271" i="3"/>
  <c r="H271" i="3"/>
  <c r="G271" i="3"/>
  <c r="M404" i="3"/>
  <c r="G621" i="3"/>
  <c r="G637" i="3" s="1"/>
  <c r="I875" i="3"/>
  <c r="I889" i="3" s="1"/>
  <c r="J777" i="3"/>
  <c r="J778" i="3" s="1"/>
  <c r="M55" i="3"/>
  <c r="M72" i="3"/>
  <c r="M77" i="3"/>
  <c r="M117" i="3"/>
  <c r="M176" i="3"/>
  <c r="M188" i="3"/>
  <c r="M211" i="3"/>
  <c r="M221" i="3" s="1"/>
  <c r="M267" i="3"/>
  <c r="M302" i="3"/>
  <c r="M303" i="3" s="1"/>
  <c r="M331" i="3"/>
  <c r="M388" i="3"/>
  <c r="M455" i="3"/>
  <c r="M463" i="3"/>
  <c r="M475" i="3"/>
  <c r="M477" i="3" s="1"/>
  <c r="M521" i="3"/>
  <c r="M568" i="3"/>
  <c r="M570" i="3" s="1"/>
  <c r="M589" i="3"/>
  <c r="M590" i="3" s="1"/>
  <c r="M652" i="3"/>
  <c r="M757" i="3"/>
  <c r="H777" i="3"/>
  <c r="H778" i="3" s="1"/>
  <c r="M814" i="3"/>
  <c r="G875" i="3"/>
  <c r="G889" i="3" s="1"/>
  <c r="G903" i="3" s="1"/>
  <c r="J356" i="3"/>
  <c r="F356" i="3"/>
  <c r="M621" i="3"/>
  <c r="I621" i="3"/>
  <c r="I637" i="3" s="1"/>
  <c r="M635" i="3"/>
  <c r="M732" i="3"/>
  <c r="H875" i="3"/>
  <c r="H889" i="3" s="1"/>
  <c r="H903" i="3" s="1"/>
  <c r="F203" i="3"/>
  <c r="F316" i="3"/>
  <c r="G563" i="3"/>
  <c r="I563" i="3"/>
  <c r="F621" i="3"/>
  <c r="F637" i="3" s="1"/>
  <c r="H621" i="3"/>
  <c r="H637" i="3" s="1"/>
  <c r="M672" i="3"/>
  <c r="G777" i="3"/>
  <c r="G778" i="3" s="1"/>
  <c r="I777" i="3"/>
  <c r="I778" i="3" s="1"/>
  <c r="F875" i="3"/>
  <c r="F889" i="3" s="1"/>
  <c r="J872" i="1"/>
  <c r="I872" i="1"/>
  <c r="H872" i="1"/>
  <c r="G872" i="1"/>
  <c r="F872" i="1"/>
  <c r="H789" i="1"/>
  <c r="F655" i="3" l="1"/>
  <c r="F656" i="3" s="1"/>
  <c r="G655" i="3"/>
  <c r="G656" i="3" s="1"/>
  <c r="G413" i="3"/>
  <c r="G417" i="3" s="1"/>
  <c r="H413" i="3"/>
  <c r="H417" i="3"/>
  <c r="F413" i="3"/>
  <c r="I413" i="3"/>
  <c r="I390" i="3"/>
  <c r="J903" i="3"/>
  <c r="I203" i="3"/>
  <c r="F903" i="3"/>
  <c r="I903" i="3"/>
  <c r="I834" i="3"/>
  <c r="G203" i="3"/>
  <c r="G834" i="3"/>
  <c r="G477" i="3"/>
  <c r="G509" i="3" s="1"/>
  <c r="I477" i="3"/>
  <c r="I509" i="3" s="1"/>
  <c r="G189" i="3"/>
  <c r="M214" i="3"/>
  <c r="F390" i="3"/>
  <c r="G316" i="3"/>
  <c r="G570" i="3"/>
  <c r="G591" i="3" s="1"/>
  <c r="I570" i="3"/>
  <c r="I591" i="3" s="1"/>
  <c r="H316" i="3"/>
  <c r="J390" i="3"/>
  <c r="J417" i="3" s="1"/>
  <c r="M340" i="3"/>
  <c r="I316" i="3"/>
  <c r="J203" i="3"/>
  <c r="H189" i="3"/>
  <c r="H203" i="3"/>
  <c r="M390" i="3"/>
  <c r="M130" i="3"/>
  <c r="I189" i="3"/>
  <c r="M816" i="3"/>
  <c r="M758" i="3"/>
  <c r="M413" i="3"/>
  <c r="J189" i="3"/>
  <c r="F189" i="3"/>
  <c r="M178" i="3"/>
  <c r="M509" i="3"/>
  <c r="M79" i="3"/>
  <c r="M107" i="3" s="1"/>
  <c r="I797" i="1"/>
  <c r="H797" i="1"/>
  <c r="G797" i="1"/>
  <c r="F797" i="1"/>
  <c r="I793" i="1"/>
  <c r="H793" i="1"/>
  <c r="G793" i="1"/>
  <c r="F793" i="1"/>
  <c r="F889" i="1"/>
  <c r="F799" i="1" l="1"/>
  <c r="F417" i="3"/>
  <c r="I417" i="3"/>
  <c r="F904" i="3"/>
  <c r="H904" i="3"/>
  <c r="J904" i="3"/>
  <c r="I904" i="3"/>
  <c r="G904" i="3"/>
  <c r="M417" i="3"/>
  <c r="M414" i="3"/>
  <c r="M203" i="3"/>
  <c r="M904" i="3" s="1"/>
  <c r="M189" i="3"/>
  <c r="J839" i="1"/>
  <c r="I839" i="1"/>
  <c r="H839" i="1"/>
  <c r="G839" i="1"/>
  <c r="F839" i="1"/>
  <c r="J832" i="1"/>
  <c r="I832" i="1"/>
  <c r="H832" i="1"/>
  <c r="G832" i="1"/>
  <c r="F832" i="1"/>
  <c r="F840" i="1" s="1"/>
  <c r="F769" i="1"/>
  <c r="F761" i="1"/>
  <c r="J663" i="1"/>
  <c r="G840" i="1" l="1"/>
  <c r="H840" i="1"/>
  <c r="J840" i="1"/>
  <c r="I840" i="1"/>
  <c r="M912" i="1"/>
  <c r="M911" i="1"/>
  <c r="M910" i="1"/>
  <c r="M907" i="1"/>
  <c r="M906" i="1"/>
  <c r="M905" i="1"/>
  <c r="M904" i="1"/>
  <c r="M903" i="1"/>
  <c r="M902" i="1"/>
  <c r="M901" i="1"/>
  <c r="M900" i="1"/>
  <c r="M899" i="1"/>
  <c r="M898" i="1"/>
  <c r="J914" i="1"/>
  <c r="I912" i="1"/>
  <c r="G912" i="1"/>
  <c r="I910" i="1"/>
  <c r="H910" i="1"/>
  <c r="G910" i="1"/>
  <c r="F910" i="1"/>
  <c r="I909" i="1"/>
  <c r="H909" i="1"/>
  <c r="G909" i="1"/>
  <c r="F909" i="1"/>
  <c r="I899" i="1"/>
  <c r="H899" i="1"/>
  <c r="G899" i="1"/>
  <c r="F899" i="1"/>
  <c r="I898" i="1"/>
  <c r="I897" i="1" s="1"/>
  <c r="H898" i="1"/>
  <c r="H897" i="1" s="1"/>
  <c r="G898" i="1"/>
  <c r="G897" i="1" s="1"/>
  <c r="F898" i="1"/>
  <c r="F897" i="1" s="1"/>
  <c r="J897" i="1"/>
  <c r="M894" i="1"/>
  <c r="M888" i="1"/>
  <c r="M887" i="1"/>
  <c r="M886" i="1"/>
  <c r="M885" i="1"/>
  <c r="M874" i="1"/>
  <c r="J889" i="1"/>
  <c r="I889" i="1"/>
  <c r="H889" i="1"/>
  <c r="G889" i="1"/>
  <c r="M871" i="1"/>
  <c r="M870" i="1"/>
  <c r="M869" i="1"/>
  <c r="M868" i="1"/>
  <c r="M867" i="1"/>
  <c r="M866" i="1"/>
  <c r="M865" i="1"/>
  <c r="M864" i="1"/>
  <c r="M859" i="1"/>
  <c r="J859" i="1"/>
  <c r="I859" i="1"/>
  <c r="H859" i="1"/>
  <c r="G859" i="1"/>
  <c r="F859" i="1"/>
  <c r="M858" i="1"/>
  <c r="M857" i="1"/>
  <c r="M856" i="1"/>
  <c r="M855" i="1"/>
  <c r="M852" i="1"/>
  <c r="M851" i="1"/>
  <c r="J853" i="1"/>
  <c r="I853" i="1"/>
  <c r="H853" i="1"/>
  <c r="G853" i="1"/>
  <c r="F853" i="1"/>
  <c r="M849" i="1"/>
  <c r="M848" i="1"/>
  <c r="M847" i="1"/>
  <c r="M846" i="1"/>
  <c r="M845" i="1"/>
  <c r="J846" i="1"/>
  <c r="J844" i="1" s="1"/>
  <c r="J861" i="1" s="1"/>
  <c r="I846" i="1"/>
  <c r="H846" i="1"/>
  <c r="G846" i="1"/>
  <c r="F846" i="1"/>
  <c r="I845" i="1"/>
  <c r="H845" i="1"/>
  <c r="H844" i="1" s="1"/>
  <c r="G845" i="1"/>
  <c r="G844" i="1" s="1"/>
  <c r="F845" i="1"/>
  <c r="F844" i="1" s="1"/>
  <c r="M837" i="1"/>
  <c r="M836" i="1"/>
  <c r="M835" i="1"/>
  <c r="M798" i="1"/>
  <c r="M796" i="1"/>
  <c r="M795" i="1"/>
  <c r="M794" i="1"/>
  <c r="M793" i="1"/>
  <c r="M792" i="1"/>
  <c r="M791" i="1"/>
  <c r="M788" i="1"/>
  <c r="M787" i="1"/>
  <c r="M785" i="1"/>
  <c r="M784" i="1"/>
  <c r="M783" i="1"/>
  <c r="M782" i="1"/>
  <c r="M780" i="1"/>
  <c r="M779" i="1"/>
  <c r="M778" i="1"/>
  <c r="M777" i="1"/>
  <c r="I882" i="1"/>
  <c r="H882" i="1"/>
  <c r="G882" i="1"/>
  <c r="F882" i="1"/>
  <c r="I881" i="1"/>
  <c r="G881" i="1"/>
  <c r="I879" i="1"/>
  <c r="G879" i="1"/>
  <c r="I878" i="1"/>
  <c r="H878" i="1"/>
  <c r="G878" i="1"/>
  <c r="F878" i="1"/>
  <c r="I876" i="1"/>
  <c r="H876" i="1"/>
  <c r="G876" i="1"/>
  <c r="F876" i="1"/>
  <c r="J875" i="1"/>
  <c r="J883" i="1" s="1"/>
  <c r="J895" i="1" s="1"/>
  <c r="I875" i="1"/>
  <c r="G875" i="1"/>
  <c r="F875" i="1"/>
  <c r="F883" i="1" s="1"/>
  <c r="F895" i="1" s="1"/>
  <c r="J789" i="1"/>
  <c r="I789" i="1"/>
  <c r="G789" i="1"/>
  <c r="F789" i="1"/>
  <c r="I761" i="1"/>
  <c r="H761" i="1"/>
  <c r="G761" i="1"/>
  <c r="J769" i="1"/>
  <c r="I769" i="1"/>
  <c r="H769" i="1"/>
  <c r="G769" i="1"/>
  <c r="J770" i="1"/>
  <c r="I770" i="1"/>
  <c r="H770" i="1"/>
  <c r="J760" i="1"/>
  <c r="J758" i="1" s="1"/>
  <c r="I760" i="1"/>
  <c r="H760" i="1"/>
  <c r="G760" i="1"/>
  <c r="F760" i="1"/>
  <c r="I759" i="1"/>
  <c r="H759" i="1"/>
  <c r="G759" i="1"/>
  <c r="G758" i="1" s="1"/>
  <c r="F759" i="1"/>
  <c r="F758" i="1" s="1"/>
  <c r="F771" i="1" s="1"/>
  <c r="M275" i="4"/>
  <c r="O273" i="4"/>
  <c r="O272" i="4"/>
  <c r="O271" i="4"/>
  <c r="O270" i="4"/>
  <c r="O269" i="4"/>
  <c r="O266" i="4"/>
  <c r="O265" i="4"/>
  <c r="O264" i="4"/>
  <c r="O263" i="4"/>
  <c r="O262" i="4"/>
  <c r="O261" i="4"/>
  <c r="O259" i="4"/>
  <c r="O258" i="4"/>
  <c r="O257" i="4"/>
  <c r="O256" i="4"/>
  <c r="O255" i="4"/>
  <c r="O254" i="4"/>
  <c r="O253" i="4"/>
  <c r="O252" i="4"/>
  <c r="O251" i="4"/>
  <c r="J274" i="4"/>
  <c r="I274" i="4"/>
  <c r="H274" i="4"/>
  <c r="G274" i="4"/>
  <c r="F274" i="4"/>
  <c r="J260" i="4"/>
  <c r="I260" i="4"/>
  <c r="H260" i="4"/>
  <c r="G260" i="4"/>
  <c r="F260" i="4"/>
  <c r="M752" i="1"/>
  <c r="M751" i="1"/>
  <c r="M750" i="1"/>
  <c r="M749" i="1"/>
  <c r="M746" i="1"/>
  <c r="M744" i="1"/>
  <c r="M743" i="1"/>
  <c r="M742" i="1"/>
  <c r="M741" i="1"/>
  <c r="M740" i="1"/>
  <c r="M739" i="1"/>
  <c r="M738" i="1"/>
  <c r="M737" i="1"/>
  <c r="J752" i="1"/>
  <c r="I752" i="1"/>
  <c r="H752" i="1"/>
  <c r="G752" i="1"/>
  <c r="F752" i="1"/>
  <c r="J745" i="1"/>
  <c r="I745" i="1"/>
  <c r="H745" i="1"/>
  <c r="G745" i="1"/>
  <c r="F745" i="1"/>
  <c r="M726" i="1"/>
  <c r="M724" i="1"/>
  <c r="M723" i="1"/>
  <c r="M721" i="1"/>
  <c r="M719" i="1"/>
  <c r="M718" i="1"/>
  <c r="M717" i="1"/>
  <c r="M716" i="1"/>
  <c r="M715" i="1"/>
  <c r="M714" i="1"/>
  <c r="M708" i="1"/>
  <c r="M707" i="1"/>
  <c r="M706" i="1"/>
  <c r="M731" i="1"/>
  <c r="M730" i="1"/>
  <c r="M729" i="1"/>
  <c r="J727" i="1"/>
  <c r="I727" i="1"/>
  <c r="H727" i="1"/>
  <c r="G727" i="1"/>
  <c r="F727" i="1"/>
  <c r="M703" i="1"/>
  <c r="M702" i="1"/>
  <c r="M701" i="1"/>
  <c r="M700" i="1"/>
  <c r="M699" i="1"/>
  <c r="M698" i="1"/>
  <c r="M697" i="1"/>
  <c r="M696" i="1"/>
  <c r="M695" i="1"/>
  <c r="M694" i="1"/>
  <c r="M693" i="1"/>
  <c r="M692" i="1"/>
  <c r="J704" i="1"/>
  <c r="I704" i="1"/>
  <c r="H704" i="1"/>
  <c r="G704" i="1"/>
  <c r="F704" i="1"/>
  <c r="M685" i="1"/>
  <c r="M683" i="1"/>
  <c r="M682" i="1"/>
  <c r="M681" i="1"/>
  <c r="M676" i="1"/>
  <c r="M675" i="1"/>
  <c r="M672" i="1"/>
  <c r="M671" i="1"/>
  <c r="M670" i="1"/>
  <c r="M669" i="1"/>
  <c r="J684" i="1"/>
  <c r="I684" i="1"/>
  <c r="H684" i="1"/>
  <c r="G684" i="1"/>
  <c r="F684" i="1"/>
  <c r="J677" i="1"/>
  <c r="I677" i="1"/>
  <c r="H677" i="1"/>
  <c r="G677" i="1"/>
  <c r="F677" i="1"/>
  <c r="I672" i="1"/>
  <c r="H672" i="1"/>
  <c r="J670" i="1"/>
  <c r="J689" i="1" s="1"/>
  <c r="I670" i="1"/>
  <c r="H670" i="1"/>
  <c r="H689" i="1" s="1"/>
  <c r="G670" i="1"/>
  <c r="F670" i="1"/>
  <c r="I669" i="1"/>
  <c r="H669" i="1"/>
  <c r="G669" i="1"/>
  <c r="G668" i="1" s="1"/>
  <c r="F669" i="1"/>
  <c r="F668" i="1" s="1"/>
  <c r="M662" i="1"/>
  <c r="M661" i="1"/>
  <c r="I661" i="1"/>
  <c r="H661" i="1"/>
  <c r="M660" i="1"/>
  <c r="I659" i="1"/>
  <c r="H659" i="1"/>
  <c r="G659" i="1"/>
  <c r="F659" i="1"/>
  <c r="J658" i="1"/>
  <c r="M656" i="1"/>
  <c r="M655" i="1"/>
  <c r="M654" i="1"/>
  <c r="I654" i="1"/>
  <c r="H654" i="1"/>
  <c r="G654" i="1"/>
  <c r="F654" i="1"/>
  <c r="M653" i="1"/>
  <c r="I653" i="1"/>
  <c r="H653" i="1"/>
  <c r="G653" i="1"/>
  <c r="F653" i="1"/>
  <c r="M652" i="1"/>
  <c r="J652" i="1"/>
  <c r="J651" i="1" s="1"/>
  <c r="I652" i="1"/>
  <c r="H652" i="1"/>
  <c r="G652" i="1"/>
  <c r="F652" i="1"/>
  <c r="M651" i="1"/>
  <c r="M650" i="1"/>
  <c r="M649" i="1"/>
  <c r="M648" i="1"/>
  <c r="I648" i="1"/>
  <c r="G648" i="1"/>
  <c r="F648" i="1"/>
  <c r="M647" i="1"/>
  <c r="I647" i="1"/>
  <c r="H647" i="1"/>
  <c r="G647" i="1"/>
  <c r="F647" i="1"/>
  <c r="M646" i="1"/>
  <c r="J646" i="1"/>
  <c r="J645" i="1" s="1"/>
  <c r="J664" i="1" s="1"/>
  <c r="I646" i="1"/>
  <c r="H646" i="1"/>
  <c r="G646" i="1"/>
  <c r="F646" i="1"/>
  <c r="M634" i="1"/>
  <c r="M633" i="1"/>
  <c r="M630" i="1"/>
  <c r="M629" i="1"/>
  <c r="M628" i="1"/>
  <c r="M627" i="1"/>
  <c r="M626" i="1"/>
  <c r="M625" i="1"/>
  <c r="M624" i="1"/>
  <c r="M623" i="1"/>
  <c r="M622" i="1"/>
  <c r="M619" i="1"/>
  <c r="M618" i="1"/>
  <c r="M617" i="1"/>
  <c r="M616" i="1"/>
  <c r="M615" i="1"/>
  <c r="M614" i="1"/>
  <c r="M613" i="1"/>
  <c r="J635" i="1"/>
  <c r="I635" i="1"/>
  <c r="H635" i="1"/>
  <c r="G635" i="1"/>
  <c r="F635" i="1"/>
  <c r="J631" i="1"/>
  <c r="I631" i="1"/>
  <c r="H631" i="1"/>
  <c r="G631" i="1"/>
  <c r="F631" i="1"/>
  <c r="J620" i="1"/>
  <c r="I617" i="1"/>
  <c r="G617" i="1"/>
  <c r="I616" i="1"/>
  <c r="H616" i="1"/>
  <c r="F616" i="1"/>
  <c r="I615" i="1"/>
  <c r="H615" i="1"/>
  <c r="F615" i="1"/>
  <c r="I614" i="1"/>
  <c r="H614" i="1"/>
  <c r="G614" i="1"/>
  <c r="F614" i="1"/>
  <c r="I613" i="1"/>
  <c r="H613" i="1"/>
  <c r="G613" i="1"/>
  <c r="F613" i="1"/>
  <c r="J612" i="1"/>
  <c r="M604" i="1"/>
  <c r="M603" i="1"/>
  <c r="M602" i="1"/>
  <c r="M598" i="1"/>
  <c r="M597" i="1"/>
  <c r="M596" i="1"/>
  <c r="M595" i="1"/>
  <c r="M594" i="1"/>
  <c r="I606" i="1"/>
  <c r="H606" i="1"/>
  <c r="G606" i="1"/>
  <c r="F606" i="1"/>
  <c r="J605" i="1"/>
  <c r="I605" i="1"/>
  <c r="H605" i="1"/>
  <c r="G605" i="1"/>
  <c r="F605" i="1"/>
  <c r="I597" i="1"/>
  <c r="H597" i="1"/>
  <c r="J595" i="1"/>
  <c r="J593" i="1" s="1"/>
  <c r="I595" i="1"/>
  <c r="H595" i="1"/>
  <c r="G595" i="1"/>
  <c r="F595" i="1"/>
  <c r="I594" i="1"/>
  <c r="H594" i="1"/>
  <c r="G594" i="1"/>
  <c r="G593" i="1" s="1"/>
  <c r="F594" i="1"/>
  <c r="F593" i="1" s="1"/>
  <c r="M639" i="1"/>
  <c r="M638" i="1"/>
  <c r="M637" i="1"/>
  <c r="M586" i="1"/>
  <c r="M585" i="1"/>
  <c r="M584" i="1"/>
  <c r="M583" i="1"/>
  <c r="I588" i="1"/>
  <c r="H588" i="1"/>
  <c r="G588" i="1"/>
  <c r="F588" i="1"/>
  <c r="J587" i="1"/>
  <c r="J589" i="1" s="1"/>
  <c r="I587" i="1"/>
  <c r="H587" i="1"/>
  <c r="G587" i="1"/>
  <c r="F587" i="1"/>
  <c r="J569" i="1"/>
  <c r="I569" i="1"/>
  <c r="I571" i="1" s="1"/>
  <c r="H569" i="1"/>
  <c r="H571" i="1" s="1"/>
  <c r="G569" i="1"/>
  <c r="G571" i="1" s="1"/>
  <c r="F569" i="1"/>
  <c r="F571" i="1" s="1"/>
  <c r="H565" i="1"/>
  <c r="G565" i="1"/>
  <c r="I563" i="1"/>
  <c r="H563" i="1"/>
  <c r="G563" i="1"/>
  <c r="F563" i="1"/>
  <c r="I562" i="1"/>
  <c r="G562" i="1"/>
  <c r="I561" i="1"/>
  <c r="H561" i="1"/>
  <c r="G561" i="1"/>
  <c r="F561" i="1"/>
  <c r="I560" i="1"/>
  <c r="H560" i="1"/>
  <c r="G560" i="1"/>
  <c r="F560" i="1"/>
  <c r="J559" i="1"/>
  <c r="I559" i="1"/>
  <c r="H559" i="1"/>
  <c r="G559" i="1"/>
  <c r="F559" i="1"/>
  <c r="J558" i="1"/>
  <c r="I558" i="1"/>
  <c r="H558" i="1"/>
  <c r="G558" i="1"/>
  <c r="F558" i="1"/>
  <c r="J557" i="1"/>
  <c r="I557" i="1"/>
  <c r="H557" i="1"/>
  <c r="F557" i="1"/>
  <c r="J556" i="1"/>
  <c r="I556" i="1"/>
  <c r="G556" i="1"/>
  <c r="F556" i="1"/>
  <c r="M552" i="1"/>
  <c r="M551" i="1"/>
  <c r="M550" i="1"/>
  <c r="M549" i="1"/>
  <c r="M548" i="1"/>
  <c r="M547" i="1"/>
  <c r="M546" i="1"/>
  <c r="M545" i="1"/>
  <c r="M544" i="1"/>
  <c r="M543" i="1"/>
  <c r="M542" i="1"/>
  <c r="J554" i="1"/>
  <c r="I554" i="1"/>
  <c r="H554" i="1"/>
  <c r="G554" i="1"/>
  <c r="F554" i="1"/>
  <c r="M538" i="1"/>
  <c r="M537" i="1"/>
  <c r="M535" i="1"/>
  <c r="M534" i="1"/>
  <c r="M533" i="1"/>
  <c r="M529" i="1"/>
  <c r="M526" i="1"/>
  <c r="M525" i="1"/>
  <c r="M524" i="1"/>
  <c r="M523" i="1"/>
  <c r="M522" i="1"/>
  <c r="M521" i="1"/>
  <c r="J536" i="1"/>
  <c r="I536" i="1"/>
  <c r="H536" i="1"/>
  <c r="G536" i="1"/>
  <c r="F536" i="1"/>
  <c r="J527" i="1"/>
  <c r="I527" i="1"/>
  <c r="H527" i="1"/>
  <c r="G527" i="1"/>
  <c r="F527" i="1"/>
  <c r="M34" i="1"/>
  <c r="M501" i="1"/>
  <c r="M500" i="1"/>
  <c r="M499" i="1"/>
  <c r="M496" i="1"/>
  <c r="M495" i="1"/>
  <c r="M494" i="1"/>
  <c r="M493" i="1"/>
  <c r="M491" i="1"/>
  <c r="M490" i="1"/>
  <c r="M489" i="1"/>
  <c r="M488" i="1"/>
  <c r="M487" i="1"/>
  <c r="M486" i="1"/>
  <c r="J497" i="1"/>
  <c r="I497" i="1"/>
  <c r="H497" i="1"/>
  <c r="G497" i="1"/>
  <c r="F497" i="1"/>
  <c r="M469" i="1"/>
  <c r="M468" i="1"/>
  <c r="M467" i="1"/>
  <c r="M466" i="1"/>
  <c r="M465" i="1"/>
  <c r="M464" i="1"/>
  <c r="M461" i="1"/>
  <c r="M460" i="1"/>
  <c r="M459" i="1"/>
  <c r="M458" i="1"/>
  <c r="M457" i="1"/>
  <c r="I472" i="1"/>
  <c r="H472" i="1"/>
  <c r="G472" i="1"/>
  <c r="F472" i="1"/>
  <c r="I468" i="1"/>
  <c r="H468" i="1"/>
  <c r="J467" i="1"/>
  <c r="I467" i="1"/>
  <c r="H467" i="1"/>
  <c r="G467" i="1"/>
  <c r="F467" i="1"/>
  <c r="J466" i="1"/>
  <c r="I466" i="1"/>
  <c r="H466" i="1"/>
  <c r="G466" i="1"/>
  <c r="F466" i="1"/>
  <c r="J465" i="1"/>
  <c r="I465" i="1"/>
  <c r="H465" i="1"/>
  <c r="F465" i="1"/>
  <c r="I464" i="1"/>
  <c r="H464" i="1"/>
  <c r="G464" i="1"/>
  <c r="F464" i="1"/>
  <c r="I463" i="1"/>
  <c r="G463" i="1"/>
  <c r="I460" i="1"/>
  <c r="I458" i="1"/>
  <c r="G458" i="1"/>
  <c r="J457" i="1"/>
  <c r="J456" i="1" s="1"/>
  <c r="I457" i="1"/>
  <c r="G457" i="1"/>
  <c r="F457" i="1"/>
  <c r="F456" i="1" s="1"/>
  <c r="H456" i="1"/>
  <c r="M454" i="1"/>
  <c r="M453" i="1"/>
  <c r="M452" i="1"/>
  <c r="M451" i="1"/>
  <c r="M450" i="1"/>
  <c r="M449" i="1"/>
  <c r="M448" i="1"/>
  <c r="M447" i="1"/>
  <c r="J455" i="1"/>
  <c r="I455" i="1"/>
  <c r="H455" i="1"/>
  <c r="G455" i="1"/>
  <c r="F455" i="1"/>
  <c r="M443" i="1"/>
  <c r="M440" i="1"/>
  <c r="M439" i="1"/>
  <c r="M438" i="1"/>
  <c r="M437" i="1"/>
  <c r="J441" i="1"/>
  <c r="I441" i="1"/>
  <c r="H441" i="1"/>
  <c r="G441" i="1"/>
  <c r="F441" i="1"/>
  <c r="M434" i="1"/>
  <c r="M433" i="1"/>
  <c r="M430" i="1"/>
  <c r="M429" i="1"/>
  <c r="M428" i="1"/>
  <c r="M427" i="1"/>
  <c r="M426" i="1"/>
  <c r="M425" i="1"/>
  <c r="J435" i="1"/>
  <c r="I435" i="1"/>
  <c r="H435" i="1"/>
  <c r="G435" i="1"/>
  <c r="F435" i="1"/>
  <c r="M415" i="1"/>
  <c r="M414" i="1"/>
  <c r="M413" i="1"/>
  <c r="M412" i="1"/>
  <c r="M402" i="1"/>
  <c r="M399" i="1"/>
  <c r="M398" i="1"/>
  <c r="M397" i="1"/>
  <c r="J416" i="1"/>
  <c r="I414" i="1"/>
  <c r="H414" i="1"/>
  <c r="I412" i="1"/>
  <c r="H412" i="1"/>
  <c r="G412" i="1"/>
  <c r="G416" i="1" s="1"/>
  <c r="F412" i="1"/>
  <c r="F416" i="1" s="1"/>
  <c r="J411" i="1"/>
  <c r="I407" i="1"/>
  <c r="H407" i="1"/>
  <c r="G407" i="1"/>
  <c r="F407" i="1"/>
  <c r="I406" i="1"/>
  <c r="H406" i="1"/>
  <c r="G406" i="1"/>
  <c r="F406" i="1"/>
  <c r="J405" i="1"/>
  <c r="J404" i="1" s="1"/>
  <c r="I405" i="1"/>
  <c r="H405" i="1"/>
  <c r="G405" i="1"/>
  <c r="F405" i="1"/>
  <c r="J402" i="1"/>
  <c r="J392" i="1" s="1"/>
  <c r="I402" i="1"/>
  <c r="H402" i="1"/>
  <c r="G402" i="1"/>
  <c r="F402" i="1"/>
  <c r="I394" i="1"/>
  <c r="H394" i="1"/>
  <c r="G394" i="1"/>
  <c r="F394" i="1"/>
  <c r="I392" i="1"/>
  <c r="J365" i="1"/>
  <c r="I365" i="1"/>
  <c r="H365" i="1"/>
  <c r="G365" i="1"/>
  <c r="F365" i="1"/>
  <c r="I364" i="1"/>
  <c r="H364" i="1"/>
  <c r="G364" i="1"/>
  <c r="F364" i="1"/>
  <c r="J362" i="1"/>
  <c r="I362" i="1"/>
  <c r="H362" i="1"/>
  <c r="F362" i="1"/>
  <c r="J361" i="1"/>
  <c r="I361" i="1"/>
  <c r="H361" i="1"/>
  <c r="F361" i="1"/>
  <c r="J360" i="1"/>
  <c r="I360" i="1"/>
  <c r="H360" i="1"/>
  <c r="F360" i="1"/>
  <c r="J359" i="1"/>
  <c r="I359" i="1"/>
  <c r="H359" i="1"/>
  <c r="G359" i="1"/>
  <c r="F359" i="1"/>
  <c r="I358" i="1"/>
  <c r="G358" i="1"/>
  <c r="J357" i="1"/>
  <c r="I357" i="1"/>
  <c r="G357" i="1"/>
  <c r="F357" i="1"/>
  <c r="F401" i="4"/>
  <c r="G401" i="4"/>
  <c r="H401" i="4"/>
  <c r="I401" i="4"/>
  <c r="J401" i="4"/>
  <c r="M353" i="1"/>
  <c r="M352" i="1"/>
  <c r="M351" i="1"/>
  <c r="M350" i="1"/>
  <c r="M349" i="1"/>
  <c r="M348" i="1"/>
  <c r="M347" i="1"/>
  <c r="M346" i="1"/>
  <c r="M345" i="1"/>
  <c r="M344" i="1"/>
  <c r="M343" i="1"/>
  <c r="J354" i="1"/>
  <c r="I354" i="1"/>
  <c r="H354" i="1"/>
  <c r="G354" i="1"/>
  <c r="F354" i="1"/>
  <c r="I349" i="1"/>
  <c r="G349" i="1"/>
  <c r="J348" i="1"/>
  <c r="I348" i="1"/>
  <c r="H348" i="1"/>
  <c r="F348" i="1"/>
  <c r="J347" i="1"/>
  <c r="I347" i="1"/>
  <c r="H347" i="1"/>
  <c r="F347" i="1"/>
  <c r="J346" i="1"/>
  <c r="I346" i="1"/>
  <c r="H346" i="1"/>
  <c r="F346" i="1"/>
  <c r="J345" i="1"/>
  <c r="I345" i="1"/>
  <c r="H345" i="1"/>
  <c r="G345" i="1"/>
  <c r="F345" i="1"/>
  <c r="J344" i="1"/>
  <c r="I344" i="1"/>
  <c r="H344" i="1"/>
  <c r="G344" i="1"/>
  <c r="F344" i="1"/>
  <c r="J343" i="1"/>
  <c r="I343" i="1"/>
  <c r="H343" i="1"/>
  <c r="G343" i="1"/>
  <c r="F343" i="1"/>
  <c r="M338" i="1"/>
  <c r="J339" i="1"/>
  <c r="I339" i="1"/>
  <c r="H339" i="1"/>
  <c r="G339" i="1"/>
  <c r="F339" i="1"/>
  <c r="M327" i="1"/>
  <c r="M326" i="1"/>
  <c r="J328" i="1"/>
  <c r="I328" i="1"/>
  <c r="H328" i="1"/>
  <c r="G328" i="1"/>
  <c r="F328" i="1"/>
  <c r="M320" i="1"/>
  <c r="M319" i="1"/>
  <c r="M318" i="1"/>
  <c r="M317" i="1"/>
  <c r="J318" i="1"/>
  <c r="J316" i="1" s="1"/>
  <c r="I318" i="1"/>
  <c r="H318" i="1"/>
  <c r="G318" i="1"/>
  <c r="F318" i="1"/>
  <c r="I317" i="1"/>
  <c r="H317" i="1"/>
  <c r="H316" i="1" s="1"/>
  <c r="G317" i="1"/>
  <c r="G316" i="1" s="1"/>
  <c r="F317" i="1"/>
  <c r="F316" i="1" s="1"/>
  <c r="I316" i="1"/>
  <c r="I271" i="1"/>
  <c r="H271" i="1"/>
  <c r="G271" i="1"/>
  <c r="F271" i="1"/>
  <c r="I270" i="1"/>
  <c r="I269" i="1" s="1"/>
  <c r="H270" i="1"/>
  <c r="H269" i="1" s="1"/>
  <c r="G270" i="1"/>
  <c r="G269" i="1" s="1"/>
  <c r="F270" i="1"/>
  <c r="F269" i="1" s="1"/>
  <c r="J269" i="1"/>
  <c r="M263" i="1"/>
  <c r="M262" i="1"/>
  <c r="M261" i="1"/>
  <c r="J258" i="1"/>
  <c r="I258" i="1"/>
  <c r="H258" i="1"/>
  <c r="G258" i="1"/>
  <c r="G234" i="1"/>
  <c r="F236" i="1"/>
  <c r="H236" i="1"/>
  <c r="I236" i="1"/>
  <c r="J236" i="1"/>
  <c r="F237" i="1"/>
  <c r="H237" i="1"/>
  <c r="I237" i="1"/>
  <c r="J237" i="1"/>
  <c r="G245" i="1"/>
  <c r="M237" i="1"/>
  <c r="M236" i="1"/>
  <c r="M235" i="1"/>
  <c r="M232" i="1"/>
  <c r="M231" i="1"/>
  <c r="M230" i="1"/>
  <c r="M229" i="1"/>
  <c r="M228" i="1"/>
  <c r="M227" i="1"/>
  <c r="M226" i="1"/>
  <c r="M225" i="1"/>
  <c r="M224" i="1"/>
  <c r="J233" i="1"/>
  <c r="I233" i="1"/>
  <c r="H233" i="1"/>
  <c r="G233" i="1"/>
  <c r="F233" i="1"/>
  <c r="M219" i="1"/>
  <c r="M218" i="1"/>
  <c r="M217" i="1"/>
  <c r="M216" i="1"/>
  <c r="M215" i="1"/>
  <c r="M214" i="1"/>
  <c r="M213" i="1"/>
  <c r="I217" i="1"/>
  <c r="G217" i="1"/>
  <c r="I216" i="1"/>
  <c r="H216" i="1"/>
  <c r="F216" i="1"/>
  <c r="I215" i="1"/>
  <c r="H215" i="1"/>
  <c r="F215" i="1"/>
  <c r="I214" i="1"/>
  <c r="H214" i="1"/>
  <c r="G214" i="1"/>
  <c r="F214" i="1"/>
  <c r="I213" i="1"/>
  <c r="H213" i="1"/>
  <c r="G213" i="1"/>
  <c r="F213" i="1"/>
  <c r="J212" i="1"/>
  <c r="M201" i="1"/>
  <c r="J205" i="1"/>
  <c r="G205" i="1"/>
  <c r="F205" i="1"/>
  <c r="J207" i="1"/>
  <c r="G207" i="1"/>
  <c r="F207" i="1"/>
  <c r="M128" i="1"/>
  <c r="M127" i="1"/>
  <c r="M126" i="1"/>
  <c r="M125" i="1"/>
  <c r="M124" i="1"/>
  <c r="M123" i="1"/>
  <c r="M122" i="1"/>
  <c r="M121" i="1"/>
  <c r="M120" i="1"/>
  <c r="M119" i="1"/>
  <c r="M118" i="1"/>
  <c r="J129" i="1"/>
  <c r="I129" i="1"/>
  <c r="H129" i="1"/>
  <c r="G129" i="1"/>
  <c r="F129" i="1"/>
  <c r="M113" i="1"/>
  <c r="M200" i="1"/>
  <c r="M199" i="1"/>
  <c r="M198" i="1"/>
  <c r="I199" i="1"/>
  <c r="I207" i="1" s="1"/>
  <c r="H199" i="1"/>
  <c r="I197" i="1"/>
  <c r="H197" i="1"/>
  <c r="G197" i="1"/>
  <c r="G196" i="1" s="1"/>
  <c r="F197" i="1"/>
  <c r="F196" i="1" s="1"/>
  <c r="J196" i="1"/>
  <c r="M191" i="1"/>
  <c r="M190" i="1"/>
  <c r="M189" i="1"/>
  <c r="M188" i="1"/>
  <c r="I191" i="1"/>
  <c r="H191" i="1"/>
  <c r="J189" i="1"/>
  <c r="J187" i="1" s="1"/>
  <c r="I189" i="1"/>
  <c r="H189" i="1"/>
  <c r="G189" i="1"/>
  <c r="F189" i="1"/>
  <c r="I188" i="1"/>
  <c r="H188" i="1"/>
  <c r="G188" i="1"/>
  <c r="F188" i="1"/>
  <c r="M168" i="1"/>
  <c r="M166" i="1"/>
  <c r="M165" i="1"/>
  <c r="M164" i="1"/>
  <c r="M161" i="1"/>
  <c r="M160" i="1"/>
  <c r="M159" i="1"/>
  <c r="H164" i="1"/>
  <c r="G164" i="1"/>
  <c r="J162" i="1"/>
  <c r="I162" i="1"/>
  <c r="H162" i="1"/>
  <c r="G162" i="1"/>
  <c r="F162" i="1"/>
  <c r="M139" i="1"/>
  <c r="M138" i="1"/>
  <c r="M137" i="1"/>
  <c r="M136" i="1"/>
  <c r="M135" i="1"/>
  <c r="M134" i="1"/>
  <c r="M133" i="1"/>
  <c r="J140" i="1"/>
  <c r="I140" i="1"/>
  <c r="H140" i="1"/>
  <c r="G140" i="1"/>
  <c r="F140" i="1"/>
  <c r="M101" i="1"/>
  <c r="M100" i="1"/>
  <c r="J102" i="1"/>
  <c r="I102" i="1"/>
  <c r="H102" i="1"/>
  <c r="G102" i="1"/>
  <c r="F102" i="1"/>
  <c r="M69" i="1"/>
  <c r="M67" i="1"/>
  <c r="M66" i="1"/>
  <c r="M65" i="1"/>
  <c r="M62" i="1"/>
  <c r="M61" i="1"/>
  <c r="M60" i="1"/>
  <c r="M59" i="1"/>
  <c r="M56" i="1"/>
  <c r="M55" i="1"/>
  <c r="M54" i="1"/>
  <c r="M53" i="1"/>
  <c r="M52" i="1"/>
  <c r="M51" i="1"/>
  <c r="M50" i="1"/>
  <c r="J68" i="1"/>
  <c r="I68" i="1"/>
  <c r="H68" i="1"/>
  <c r="G68" i="1"/>
  <c r="F68" i="1"/>
  <c r="J63" i="1"/>
  <c r="I63" i="1"/>
  <c r="H63" i="1"/>
  <c r="G63" i="1"/>
  <c r="F63" i="1"/>
  <c r="I55" i="1"/>
  <c r="H55" i="1"/>
  <c r="I54" i="1"/>
  <c r="G54" i="1"/>
  <c r="I53" i="1"/>
  <c r="H53" i="1"/>
  <c r="F53" i="1"/>
  <c r="I51" i="1"/>
  <c r="H51" i="1"/>
  <c r="F51" i="1"/>
  <c r="I49" i="1"/>
  <c r="G49" i="1"/>
  <c r="G48" i="1" s="1"/>
  <c r="F49" i="1"/>
  <c r="J48" i="1"/>
  <c r="M38" i="1"/>
  <c r="M39" i="1"/>
  <c r="M40" i="1"/>
  <c r="M41" i="1"/>
  <c r="M42" i="1"/>
  <c r="M44" i="1"/>
  <c r="M45" i="1"/>
  <c r="J47" i="1"/>
  <c r="I47" i="1"/>
  <c r="H47" i="1"/>
  <c r="G47" i="1"/>
  <c r="F47" i="1"/>
  <c r="M13" i="1"/>
  <c r="M12" i="1"/>
  <c r="M11" i="1"/>
  <c r="M7" i="1"/>
  <c r="M6" i="1"/>
  <c r="J14" i="1"/>
  <c r="J15" i="1" s="1"/>
  <c r="I14" i="1"/>
  <c r="I15" i="1" s="1"/>
  <c r="H14" i="1"/>
  <c r="H15" i="1" s="1"/>
  <c r="G14" i="1"/>
  <c r="G15" i="1" s="1"/>
  <c r="F14" i="1"/>
  <c r="F15" i="1" s="1"/>
  <c r="G392" i="1" l="1"/>
  <c r="I565" i="1"/>
  <c r="F914" i="1"/>
  <c r="F187" i="1"/>
  <c r="G689" i="1"/>
  <c r="H758" i="1"/>
  <c r="H774" i="1" s="1"/>
  <c r="I844" i="1"/>
  <c r="I861" i="1" s="1"/>
  <c r="G187" i="1"/>
  <c r="I758" i="1"/>
  <c r="H914" i="1"/>
  <c r="F565" i="1"/>
  <c r="I689" i="1"/>
  <c r="I914" i="1"/>
  <c r="I883" i="1"/>
  <c r="I895" i="1" s="1"/>
  <c r="G861" i="1"/>
  <c r="F884" i="1"/>
  <c r="H883" i="1"/>
  <c r="H895" i="1" s="1"/>
  <c r="G883" i="1"/>
  <c r="G895" i="1" s="1"/>
  <c r="I774" i="1"/>
  <c r="H392" i="1"/>
  <c r="F861" i="1"/>
  <c r="H861" i="1"/>
  <c r="G914" i="1"/>
  <c r="F70" i="1"/>
  <c r="J774" i="1"/>
  <c r="G771" i="1"/>
  <c r="G774" i="1"/>
  <c r="F774" i="1"/>
  <c r="H663" i="1"/>
  <c r="F658" i="1"/>
  <c r="F663" i="1"/>
  <c r="G70" i="1"/>
  <c r="G658" i="1"/>
  <c r="G663" i="1"/>
  <c r="I663" i="1"/>
  <c r="J565" i="1"/>
  <c r="J571" i="1"/>
  <c r="F689" i="1"/>
  <c r="G275" i="4"/>
  <c r="I275" i="4"/>
  <c r="O260" i="4"/>
  <c r="J771" i="1"/>
  <c r="H771" i="1"/>
  <c r="M873" i="1"/>
  <c r="M789" i="1"/>
  <c r="H668" i="1"/>
  <c r="M853" i="1"/>
  <c r="M889" i="1"/>
  <c r="M838" i="1"/>
  <c r="I771" i="1"/>
  <c r="H275" i="4"/>
  <c r="O274" i="4"/>
  <c r="O275" i="4" s="1"/>
  <c r="F275" i="4"/>
  <c r="J275" i="4"/>
  <c r="F245" i="1"/>
  <c r="G753" i="1"/>
  <c r="M753" i="1"/>
  <c r="M745" i="1"/>
  <c r="F753" i="1"/>
  <c r="J753" i="1"/>
  <c r="I645" i="1"/>
  <c r="I753" i="1"/>
  <c r="H645" i="1"/>
  <c r="H753" i="1"/>
  <c r="I668" i="1"/>
  <c r="M704" i="1"/>
  <c r="M727" i="1"/>
  <c r="H651" i="1"/>
  <c r="M684" i="1"/>
  <c r="M689" i="1" s="1"/>
  <c r="M677" i="1"/>
  <c r="H612" i="1"/>
  <c r="G645" i="1"/>
  <c r="F645" i="1"/>
  <c r="J668" i="1"/>
  <c r="M635" i="1"/>
  <c r="M673" i="1"/>
  <c r="G461" i="1"/>
  <c r="H658" i="1"/>
  <c r="F444" i="1"/>
  <c r="J444" i="1"/>
  <c r="G456" i="1"/>
  <c r="I593" i="1"/>
  <c r="I651" i="1"/>
  <c r="G651" i="1"/>
  <c r="M657" i="1"/>
  <c r="F620" i="1"/>
  <c r="F651" i="1"/>
  <c r="I658" i="1"/>
  <c r="H620" i="1"/>
  <c r="M631" i="1"/>
  <c r="M605" i="1"/>
  <c r="F612" i="1"/>
  <c r="G612" i="1"/>
  <c r="I620" i="1"/>
  <c r="M620" i="1"/>
  <c r="I612" i="1"/>
  <c r="G620" i="1"/>
  <c r="G555" i="1"/>
  <c r="F392" i="1"/>
  <c r="H593" i="1"/>
  <c r="F555" i="1"/>
  <c r="J555" i="1"/>
  <c r="I555" i="1"/>
  <c r="H555" i="1"/>
  <c r="M587" i="1"/>
  <c r="M589" i="1" s="1"/>
  <c r="J417" i="1"/>
  <c r="F461" i="1"/>
  <c r="H537" i="1"/>
  <c r="F589" i="1"/>
  <c r="I589" i="1"/>
  <c r="M553" i="1"/>
  <c r="H589" i="1"/>
  <c r="G404" i="1"/>
  <c r="G417" i="1" s="1"/>
  <c r="G411" i="1"/>
  <c r="I456" i="1"/>
  <c r="G589" i="1"/>
  <c r="F404" i="1"/>
  <c r="I404" i="1"/>
  <c r="M435" i="1"/>
  <c r="H444" i="1"/>
  <c r="H461" i="1"/>
  <c r="I461" i="1"/>
  <c r="M497" i="1"/>
  <c r="M502" i="1"/>
  <c r="F537" i="1"/>
  <c r="J537" i="1"/>
  <c r="I196" i="1"/>
  <c r="I416" i="1"/>
  <c r="J356" i="1"/>
  <c r="H404" i="1"/>
  <c r="I411" i="1"/>
  <c r="J461" i="1"/>
  <c r="M462" i="1"/>
  <c r="M527" i="1"/>
  <c r="M536" i="1"/>
  <c r="G356" i="1"/>
  <c r="I356" i="1"/>
  <c r="H356" i="1"/>
  <c r="M404" i="1"/>
  <c r="M416" i="1"/>
  <c r="G444" i="1"/>
  <c r="M441" i="1"/>
  <c r="G537" i="1"/>
  <c r="H416" i="1"/>
  <c r="F356" i="1"/>
  <c r="I444" i="1"/>
  <c r="M455" i="1"/>
  <c r="M470" i="1"/>
  <c r="I537" i="1"/>
  <c r="F411" i="1"/>
  <c r="H411" i="1"/>
  <c r="F355" i="1"/>
  <c r="J355" i="1"/>
  <c r="J245" i="1"/>
  <c r="H355" i="1"/>
  <c r="M355" i="1"/>
  <c r="G355" i="1"/>
  <c r="H245" i="1"/>
  <c r="I355" i="1"/>
  <c r="G212" i="1"/>
  <c r="M264" i="1"/>
  <c r="I212" i="1"/>
  <c r="M245" i="1"/>
  <c r="F258" i="1"/>
  <c r="M328" i="1"/>
  <c r="I48" i="1"/>
  <c r="I70" i="1" s="1"/>
  <c r="F212" i="1"/>
  <c r="M233" i="1"/>
  <c r="J234" i="1"/>
  <c r="F234" i="1"/>
  <c r="F48" i="1"/>
  <c r="H48" i="1"/>
  <c r="H70" i="1" s="1"/>
  <c r="I187" i="1"/>
  <c r="H212" i="1"/>
  <c r="H234" i="1"/>
  <c r="I234" i="1"/>
  <c r="I245" i="1"/>
  <c r="H196" i="1"/>
  <c r="I205" i="1"/>
  <c r="H205" i="1"/>
  <c r="H207" i="1"/>
  <c r="H187" i="1"/>
  <c r="M73" i="1"/>
  <c r="M63" i="1"/>
  <c r="M140" i="1"/>
  <c r="M192" i="1"/>
  <c r="M205" i="1" s="1"/>
  <c r="M14" i="1"/>
  <c r="M15" i="1" s="1"/>
  <c r="M102" i="1"/>
  <c r="M162" i="1"/>
  <c r="M169" i="1" s="1"/>
  <c r="M47" i="1"/>
  <c r="J70" i="1"/>
  <c r="M68" i="1"/>
  <c r="I683" i="4"/>
  <c r="H683" i="4"/>
  <c r="G683" i="4"/>
  <c r="F683" i="4"/>
  <c r="I682" i="4"/>
  <c r="G682" i="4"/>
  <c r="F682" i="4"/>
  <c r="J532" i="4"/>
  <c r="I532" i="4"/>
  <c r="H532" i="4"/>
  <c r="G532" i="4"/>
  <c r="F532" i="4"/>
  <c r="O531" i="4"/>
  <c r="O530" i="4"/>
  <c r="O528" i="4"/>
  <c r="O527" i="4"/>
  <c r="O526" i="4"/>
  <c r="O525" i="4"/>
  <c r="O523" i="4"/>
  <c r="O522" i="4"/>
  <c r="O521" i="4"/>
  <c r="O520" i="4"/>
  <c r="I493" i="4"/>
  <c r="H493" i="4"/>
  <c r="G493" i="4"/>
  <c r="F493" i="4"/>
  <c r="G317" i="4"/>
  <c r="J311" i="4"/>
  <c r="I311" i="4"/>
  <c r="H311" i="4"/>
  <c r="F311" i="4"/>
  <c r="J310" i="4"/>
  <c r="I310" i="4"/>
  <c r="H310" i="4"/>
  <c r="F310" i="4"/>
  <c r="F317" i="4" s="1"/>
  <c r="I164" i="4"/>
  <c r="H164" i="4"/>
  <c r="G164" i="4"/>
  <c r="F164" i="4"/>
  <c r="I163" i="4"/>
  <c r="H163" i="4"/>
  <c r="G163" i="4"/>
  <c r="F163" i="4"/>
  <c r="J162" i="4"/>
  <c r="J161" i="4" s="1"/>
  <c r="I162" i="4"/>
  <c r="H162" i="4"/>
  <c r="G162" i="4"/>
  <c r="F162" i="4"/>
  <c r="J159" i="4"/>
  <c r="J149" i="4" s="1"/>
  <c r="I159" i="4"/>
  <c r="H159" i="4"/>
  <c r="G159" i="4"/>
  <c r="F159" i="4"/>
  <c r="I151" i="4"/>
  <c r="I149" i="4" s="1"/>
  <c r="H151" i="4"/>
  <c r="G151" i="4"/>
  <c r="F151" i="4"/>
  <c r="J36" i="4"/>
  <c r="H36" i="4"/>
  <c r="O118" i="4"/>
  <c r="O119" i="4"/>
  <c r="O470" i="4"/>
  <c r="O469" i="4"/>
  <c r="I469" i="4"/>
  <c r="H469" i="4"/>
  <c r="O468" i="4"/>
  <c r="I468" i="4"/>
  <c r="G468" i="4"/>
  <c r="O467" i="4"/>
  <c r="I467" i="4"/>
  <c r="H467" i="4"/>
  <c r="F467" i="4"/>
  <c r="O466" i="4"/>
  <c r="O465" i="4"/>
  <c r="I465" i="4"/>
  <c r="H465" i="4"/>
  <c r="F465" i="4"/>
  <c r="O464" i="4"/>
  <c r="I463" i="4"/>
  <c r="G463" i="4"/>
  <c r="F463" i="4"/>
  <c r="J462" i="4"/>
  <c r="F149" i="4" l="1"/>
  <c r="G462" i="4"/>
  <c r="G149" i="4"/>
  <c r="H149" i="4"/>
  <c r="F688" i="4"/>
  <c r="G664" i="1"/>
  <c r="F664" i="1"/>
  <c r="H664" i="1"/>
  <c r="I664" i="1"/>
  <c r="M754" i="1"/>
  <c r="F417" i="1"/>
  <c r="H417" i="1"/>
  <c r="M417" i="1"/>
  <c r="I417" i="1"/>
  <c r="M70" i="1"/>
  <c r="O532" i="4"/>
  <c r="G161" i="4"/>
  <c r="I161" i="4"/>
  <c r="F161" i="4"/>
  <c r="H161" i="4"/>
  <c r="H462" i="4"/>
  <c r="F462" i="4"/>
  <c r="I462" i="4"/>
  <c r="J323" i="4"/>
  <c r="I323" i="4"/>
  <c r="H323" i="4"/>
  <c r="G323" i="4"/>
  <c r="F323" i="4"/>
  <c r="O322" i="4"/>
  <c r="O321" i="4"/>
  <c r="O320" i="4"/>
  <c r="O319" i="4"/>
  <c r="G228" i="4"/>
  <c r="O220" i="4"/>
  <c r="J220" i="4"/>
  <c r="I220" i="4"/>
  <c r="H220" i="4"/>
  <c r="F220" i="4"/>
  <c r="O219" i="4"/>
  <c r="J219" i="4"/>
  <c r="I219" i="4"/>
  <c r="H219" i="4"/>
  <c r="F219" i="4"/>
  <c r="O218" i="4"/>
  <c r="G217" i="4"/>
  <c r="O215" i="4"/>
  <c r="O214" i="4"/>
  <c r="J214" i="4"/>
  <c r="I214" i="4"/>
  <c r="H214" i="4"/>
  <c r="H216" i="4" s="1"/>
  <c r="F214" i="4"/>
  <c r="O213" i="4"/>
  <c r="J213" i="4"/>
  <c r="I213" i="4"/>
  <c r="G213" i="4"/>
  <c r="G216" i="4" s="1"/>
  <c r="F213" i="4"/>
  <c r="O210" i="4"/>
  <c r="J210" i="4"/>
  <c r="I210" i="4"/>
  <c r="H210" i="4"/>
  <c r="G210" i="4"/>
  <c r="F210" i="4"/>
  <c r="O209" i="4"/>
  <c r="J209" i="4"/>
  <c r="I209" i="4"/>
  <c r="H209" i="4"/>
  <c r="G209" i="4"/>
  <c r="F209" i="4"/>
  <c r="O207" i="4"/>
  <c r="J207" i="4"/>
  <c r="I207" i="4"/>
  <c r="H207" i="4"/>
  <c r="F207" i="4"/>
  <c r="O206" i="4"/>
  <c r="J206" i="4"/>
  <c r="I206" i="4"/>
  <c r="H206" i="4"/>
  <c r="F206" i="4"/>
  <c r="O205" i="4"/>
  <c r="J205" i="4"/>
  <c r="I205" i="4"/>
  <c r="H205" i="4"/>
  <c r="F205" i="4"/>
  <c r="O204" i="4"/>
  <c r="J204" i="4"/>
  <c r="I204" i="4"/>
  <c r="H204" i="4"/>
  <c r="G204" i="4"/>
  <c r="F204" i="4"/>
  <c r="J306" i="4"/>
  <c r="I306" i="4"/>
  <c r="H306" i="4"/>
  <c r="G306" i="4"/>
  <c r="F306" i="4"/>
  <c r="O305" i="4"/>
  <c r="O304" i="4"/>
  <c r="O303" i="4"/>
  <c r="O302" i="4"/>
  <c r="O301" i="4"/>
  <c r="O300" i="4"/>
  <c r="O299" i="4"/>
  <c r="O298" i="4"/>
  <c r="O39" i="4"/>
  <c r="I39" i="4"/>
  <c r="G39" i="4"/>
  <c r="O38" i="4"/>
  <c r="I37" i="4"/>
  <c r="G37" i="4"/>
  <c r="F37" i="4"/>
  <c r="F36" i="4" s="1"/>
  <c r="I120" i="4"/>
  <c r="H120" i="4"/>
  <c r="F120" i="4"/>
  <c r="O88" i="4"/>
  <c r="J88" i="4"/>
  <c r="I88" i="4"/>
  <c r="H88" i="4"/>
  <c r="G88" i="4"/>
  <c r="F88" i="4"/>
  <c r="O86" i="4"/>
  <c r="O82" i="4"/>
  <c r="O81" i="4"/>
  <c r="O80" i="4"/>
  <c r="O79" i="4"/>
  <c r="O9" i="4"/>
  <c r="O8" i="4"/>
  <c r="O7" i="4"/>
  <c r="J7" i="4"/>
  <c r="J11" i="4" s="1"/>
  <c r="I7" i="4"/>
  <c r="H7" i="4"/>
  <c r="G7" i="4"/>
  <c r="F7" i="4"/>
  <c r="O6" i="4"/>
  <c r="I6" i="4"/>
  <c r="I11" i="4" s="1"/>
  <c r="H6" i="4"/>
  <c r="H11" i="4" s="1"/>
  <c r="G6" i="4"/>
  <c r="G11" i="4" s="1"/>
  <c r="F6" i="4"/>
  <c r="F11" i="4" s="1"/>
  <c r="O35" i="4"/>
  <c r="O34" i="4"/>
  <c r="O33" i="4"/>
  <c r="I33" i="4"/>
  <c r="G33" i="4"/>
  <c r="O32" i="4"/>
  <c r="I32" i="4"/>
  <c r="H32" i="4"/>
  <c r="F32" i="4"/>
  <c r="O31" i="4"/>
  <c r="I31" i="4"/>
  <c r="H31" i="4"/>
  <c r="F31" i="4"/>
  <c r="O30" i="4"/>
  <c r="I30" i="4"/>
  <c r="H30" i="4"/>
  <c r="G30" i="4"/>
  <c r="F30" i="4"/>
  <c r="O29" i="4"/>
  <c r="I29" i="4"/>
  <c r="H29" i="4"/>
  <c r="G29" i="4"/>
  <c r="F29" i="4"/>
  <c r="J28" i="4"/>
  <c r="J461" i="4"/>
  <c r="I461" i="4"/>
  <c r="H461" i="4"/>
  <c r="G461" i="4"/>
  <c r="F461" i="4"/>
  <c r="O460" i="4"/>
  <c r="O458" i="4"/>
  <c r="O457" i="4"/>
  <c r="O455" i="4"/>
  <c r="O454" i="4"/>
  <c r="O453" i="4"/>
  <c r="O452" i="4"/>
  <c r="O664" i="4"/>
  <c r="J664" i="4"/>
  <c r="I664" i="4"/>
  <c r="H664" i="4"/>
  <c r="G664" i="4"/>
  <c r="F664" i="4"/>
  <c r="O662" i="4"/>
  <c r="O658" i="4"/>
  <c r="O657" i="4"/>
  <c r="O656" i="4"/>
  <c r="O655" i="4"/>
  <c r="J733" i="4"/>
  <c r="I733" i="4"/>
  <c r="H733" i="4"/>
  <c r="G733" i="4"/>
  <c r="F733" i="4"/>
  <c r="O732" i="4"/>
  <c r="O731" i="4"/>
  <c r="O730" i="4"/>
  <c r="J675" i="4"/>
  <c r="I675" i="4"/>
  <c r="H675" i="4"/>
  <c r="G675" i="4"/>
  <c r="F675" i="4"/>
  <c r="O674" i="4"/>
  <c r="O673" i="4"/>
  <c r="J671" i="4"/>
  <c r="I671" i="4"/>
  <c r="H671" i="4"/>
  <c r="G671" i="4"/>
  <c r="F671" i="4"/>
  <c r="O670" i="4"/>
  <c r="O669" i="4"/>
  <c r="O668" i="4"/>
  <c r="J435" i="4"/>
  <c r="I435" i="4"/>
  <c r="H435" i="4"/>
  <c r="G435" i="4"/>
  <c r="F435" i="4"/>
  <c r="O434" i="4"/>
  <c r="O433" i="4"/>
  <c r="J431" i="4"/>
  <c r="I431" i="4"/>
  <c r="H431" i="4"/>
  <c r="G431" i="4"/>
  <c r="F431" i="4"/>
  <c r="O430" i="4"/>
  <c r="O429" i="4"/>
  <c r="O428" i="4"/>
  <c r="O427" i="4"/>
  <c r="O426" i="4"/>
  <c r="O425" i="4"/>
  <c r="I36" i="4" l="1"/>
  <c r="G36" i="4"/>
  <c r="O323" i="4"/>
  <c r="O306" i="4"/>
  <c r="I216" i="4"/>
  <c r="O216" i="4"/>
  <c r="O228" i="4"/>
  <c r="H217" i="4"/>
  <c r="J217" i="4"/>
  <c r="F217" i="4"/>
  <c r="F211" i="4"/>
  <c r="H211" i="4"/>
  <c r="J211" i="4"/>
  <c r="I211" i="4"/>
  <c r="O211" i="4"/>
  <c r="G211" i="4"/>
  <c r="J216" i="4"/>
  <c r="F216" i="4"/>
  <c r="F228" i="4"/>
  <c r="I228" i="4"/>
  <c r="H228" i="4"/>
  <c r="J228" i="4"/>
  <c r="I217" i="4"/>
  <c r="H28" i="4"/>
  <c r="O733" i="4"/>
  <c r="F28" i="4"/>
  <c r="G28" i="4"/>
  <c r="I28" i="4"/>
  <c r="O461" i="4"/>
  <c r="O435" i="4"/>
  <c r="O671" i="4"/>
  <c r="O675" i="4"/>
  <c r="O89" i="4"/>
  <c r="O744" i="4"/>
  <c r="O743" i="4"/>
  <c r="O742" i="4"/>
  <c r="I742" i="4"/>
  <c r="H742" i="4"/>
  <c r="O741" i="4"/>
  <c r="O740" i="4"/>
  <c r="J740" i="4"/>
  <c r="I740" i="4"/>
  <c r="H740" i="4"/>
  <c r="G740" i="4"/>
  <c r="F740" i="4"/>
  <c r="O739" i="4"/>
  <c r="I739" i="4"/>
  <c r="H739" i="4"/>
  <c r="G739" i="4"/>
  <c r="F739" i="4"/>
  <c r="J738" i="4"/>
  <c r="J794" i="4"/>
  <c r="I794" i="4"/>
  <c r="H794" i="4"/>
  <c r="G794" i="4"/>
  <c r="F794" i="4"/>
  <c r="O793" i="4"/>
  <c r="O791" i="4"/>
  <c r="O790" i="4"/>
  <c r="I347" i="4"/>
  <c r="G347" i="4"/>
  <c r="I345" i="4"/>
  <c r="H345" i="4"/>
  <c r="G345" i="4"/>
  <c r="F345" i="4"/>
  <c r="I344" i="4"/>
  <c r="H344" i="4"/>
  <c r="G344" i="4"/>
  <c r="F344" i="4"/>
  <c r="I334" i="4"/>
  <c r="H334" i="4"/>
  <c r="G334" i="4"/>
  <c r="F334" i="4"/>
  <c r="I333" i="4"/>
  <c r="I332" i="4" s="1"/>
  <c r="H333" i="4"/>
  <c r="G333" i="4"/>
  <c r="G332" i="4" s="1"/>
  <c r="F333" i="4"/>
  <c r="F332" i="4" s="1"/>
  <c r="J332" i="4"/>
  <c r="H332" i="4"/>
  <c r="O364" i="4"/>
  <c r="O363" i="4"/>
  <c r="O362" i="4"/>
  <c r="I362" i="4"/>
  <c r="H362" i="4"/>
  <c r="O361" i="4"/>
  <c r="O360" i="4"/>
  <c r="J360" i="4"/>
  <c r="J358" i="4" s="1"/>
  <c r="I360" i="4"/>
  <c r="H360" i="4"/>
  <c r="G360" i="4"/>
  <c r="F360" i="4"/>
  <c r="O359" i="4"/>
  <c r="I359" i="4"/>
  <c r="H359" i="4"/>
  <c r="G359" i="4"/>
  <c r="F359" i="4"/>
  <c r="F73" i="4"/>
  <c r="F66" i="4"/>
  <c r="J688" i="4"/>
  <c r="I688" i="4"/>
  <c r="H688" i="4"/>
  <c r="G688" i="4"/>
  <c r="O687" i="4"/>
  <c r="O686" i="4"/>
  <c r="O685" i="4"/>
  <c r="O684" i="4"/>
  <c r="O681" i="4"/>
  <c r="O548" i="4"/>
  <c r="O547" i="4"/>
  <c r="O546" i="4"/>
  <c r="I546" i="4"/>
  <c r="G546" i="4"/>
  <c r="O545" i="4"/>
  <c r="J545" i="4"/>
  <c r="I545" i="4"/>
  <c r="H545" i="4"/>
  <c r="F545" i="4"/>
  <c r="O544" i="4"/>
  <c r="J544" i="4"/>
  <c r="I544" i="4"/>
  <c r="H544" i="4"/>
  <c r="F544" i="4"/>
  <c r="O543" i="4"/>
  <c r="J543" i="4"/>
  <c r="I543" i="4"/>
  <c r="H543" i="4"/>
  <c r="F543" i="4"/>
  <c r="J477" i="4"/>
  <c r="I477" i="4"/>
  <c r="H477" i="4"/>
  <c r="G477" i="4"/>
  <c r="F477" i="4"/>
  <c r="O476" i="4"/>
  <c r="O475" i="4"/>
  <c r="O474" i="4"/>
  <c r="O473" i="4"/>
  <c r="J724" i="4"/>
  <c r="J734" i="4" s="1"/>
  <c r="I724" i="4"/>
  <c r="I734" i="4" s="1"/>
  <c r="H724" i="4"/>
  <c r="H734" i="4" s="1"/>
  <c r="G724" i="4"/>
  <c r="G734" i="4" s="1"/>
  <c r="F724" i="4"/>
  <c r="F734" i="4" s="1"/>
  <c r="O723" i="4"/>
  <c r="O722" i="4"/>
  <c r="O721" i="4"/>
  <c r="O720" i="4"/>
  <c r="O719" i="4"/>
  <c r="O718" i="4"/>
  <c r="O411" i="4"/>
  <c r="J195" i="4"/>
  <c r="I195" i="4"/>
  <c r="H195" i="4"/>
  <c r="G195" i="4"/>
  <c r="F195" i="4"/>
  <c r="O194" i="4"/>
  <c r="O193" i="4"/>
  <c r="O192" i="4"/>
  <c r="O191" i="4"/>
  <c r="J66" i="4"/>
  <c r="I66" i="4"/>
  <c r="H66" i="4"/>
  <c r="G66" i="4"/>
  <c r="O65" i="4"/>
  <c r="O64" i="4"/>
  <c r="O63" i="4"/>
  <c r="O62" i="4"/>
  <c r="O60" i="4"/>
  <c r="O59" i="4"/>
  <c r="O58" i="4"/>
  <c r="O57" i="4"/>
  <c r="O56" i="4"/>
  <c r="O55" i="4"/>
  <c r="J15" i="4"/>
  <c r="I15" i="4"/>
  <c r="H15" i="4"/>
  <c r="G15" i="4"/>
  <c r="F15" i="4"/>
  <c r="J771" i="4"/>
  <c r="I771" i="4"/>
  <c r="H771" i="4"/>
  <c r="G771" i="4"/>
  <c r="F771" i="4"/>
  <c r="J748" i="4"/>
  <c r="I748" i="4"/>
  <c r="H748" i="4"/>
  <c r="G748" i="4"/>
  <c r="F748" i="4"/>
  <c r="J754" i="4"/>
  <c r="I754" i="4"/>
  <c r="H754" i="4"/>
  <c r="G754" i="4"/>
  <c r="F754" i="4"/>
  <c r="J745" i="4"/>
  <c r="I745" i="4"/>
  <c r="H745" i="4"/>
  <c r="G745" i="4"/>
  <c r="F745" i="4"/>
  <c r="I705" i="4"/>
  <c r="H705" i="4"/>
  <c r="G705" i="4"/>
  <c r="F705" i="4"/>
  <c r="I701" i="4"/>
  <c r="H701" i="4"/>
  <c r="J700" i="4"/>
  <c r="I700" i="4"/>
  <c r="H700" i="4"/>
  <c r="G700" i="4"/>
  <c r="F700" i="4"/>
  <c r="J699" i="4"/>
  <c r="I699" i="4"/>
  <c r="H699" i="4"/>
  <c r="G699" i="4"/>
  <c r="F699" i="4"/>
  <c r="J698" i="4"/>
  <c r="I698" i="4"/>
  <c r="H698" i="4"/>
  <c r="F698" i="4"/>
  <c r="I697" i="4"/>
  <c r="H697" i="4"/>
  <c r="G697" i="4"/>
  <c r="F697" i="4"/>
  <c r="I696" i="4"/>
  <c r="G696" i="4"/>
  <c r="I693" i="4"/>
  <c r="I691" i="4"/>
  <c r="G691" i="4"/>
  <c r="J690" i="4"/>
  <c r="I690" i="4"/>
  <c r="G690" i="4"/>
  <c r="F690" i="4"/>
  <c r="F689" i="4" s="1"/>
  <c r="J689" i="4"/>
  <c r="H689" i="4"/>
  <c r="J677" i="4"/>
  <c r="J678" i="4" s="1"/>
  <c r="I677" i="4"/>
  <c r="I678" i="4" s="1"/>
  <c r="H677" i="4"/>
  <c r="H678" i="4" s="1"/>
  <c r="G677" i="4"/>
  <c r="G678" i="4" s="1"/>
  <c r="F677" i="4"/>
  <c r="F678" i="4" s="1"/>
  <c r="J643" i="4"/>
  <c r="I643" i="4"/>
  <c r="H643" i="4"/>
  <c r="G643" i="4"/>
  <c r="F643" i="4"/>
  <c r="H645" i="4"/>
  <c r="G645" i="4"/>
  <c r="J644" i="4"/>
  <c r="I644" i="4"/>
  <c r="H644" i="4"/>
  <c r="G644" i="4"/>
  <c r="F644" i="4"/>
  <c r="J593" i="4"/>
  <c r="I593" i="4"/>
  <c r="H593" i="4"/>
  <c r="G593" i="4"/>
  <c r="F593" i="4"/>
  <c r="J582" i="4"/>
  <c r="J580" i="4" s="1"/>
  <c r="I582" i="4"/>
  <c r="H582" i="4"/>
  <c r="G582" i="4"/>
  <c r="F582" i="4"/>
  <c r="I581" i="4"/>
  <c r="H581" i="4"/>
  <c r="H580" i="4" s="1"/>
  <c r="G581" i="4"/>
  <c r="G580" i="4" s="1"/>
  <c r="F581" i="4"/>
  <c r="F580" i="4" s="1"/>
  <c r="I574" i="4"/>
  <c r="H574" i="4"/>
  <c r="I572" i="4"/>
  <c r="H572" i="4"/>
  <c r="G572" i="4"/>
  <c r="G571" i="4" s="1"/>
  <c r="F572" i="4"/>
  <c r="F571" i="4" s="1"/>
  <c r="J571" i="4"/>
  <c r="I567" i="4"/>
  <c r="H567" i="4"/>
  <c r="G567" i="4"/>
  <c r="F567" i="4"/>
  <c r="I566" i="4"/>
  <c r="H566" i="4"/>
  <c r="G566" i="4"/>
  <c r="F566" i="4"/>
  <c r="J565" i="4"/>
  <c r="J564" i="4" s="1"/>
  <c r="I565" i="4"/>
  <c r="H565" i="4"/>
  <c r="G565" i="4"/>
  <c r="F565" i="4"/>
  <c r="I561" i="4"/>
  <c r="G561" i="4"/>
  <c r="F561" i="4"/>
  <c r="I560" i="4"/>
  <c r="H560" i="4"/>
  <c r="G560" i="4"/>
  <c r="F560" i="4"/>
  <c r="J559" i="4"/>
  <c r="J558" i="4" s="1"/>
  <c r="I559" i="4"/>
  <c r="H559" i="4"/>
  <c r="G559" i="4"/>
  <c r="F559" i="4"/>
  <c r="I541" i="4"/>
  <c r="H541" i="4"/>
  <c r="G541" i="4"/>
  <c r="F541" i="4"/>
  <c r="I540" i="4"/>
  <c r="G540" i="4"/>
  <c r="I538" i="4"/>
  <c r="G538" i="4"/>
  <c r="I537" i="4"/>
  <c r="H537" i="4"/>
  <c r="G537" i="4"/>
  <c r="F537" i="4"/>
  <c r="I535" i="4"/>
  <c r="H535" i="4"/>
  <c r="H533" i="4" s="1"/>
  <c r="G535" i="4"/>
  <c r="F535" i="4"/>
  <c r="J534" i="4"/>
  <c r="J533" i="4" s="1"/>
  <c r="I534" i="4"/>
  <c r="G534" i="4"/>
  <c r="F534" i="4"/>
  <c r="J507" i="4"/>
  <c r="I507" i="4"/>
  <c r="H507" i="4"/>
  <c r="G507" i="4"/>
  <c r="F507" i="4"/>
  <c r="I580" i="4" l="1"/>
  <c r="F533" i="4"/>
  <c r="H571" i="4"/>
  <c r="I571" i="4"/>
  <c r="J756" i="4"/>
  <c r="F738" i="4"/>
  <c r="F756" i="4" s="1"/>
  <c r="O794" i="4"/>
  <c r="G738" i="4"/>
  <c r="G756" i="4" s="1"/>
  <c r="I738" i="4"/>
  <c r="I756" i="4" s="1"/>
  <c r="H738" i="4"/>
  <c r="H756" i="4" s="1"/>
  <c r="G358" i="4"/>
  <c r="F599" i="4"/>
  <c r="F74" i="4"/>
  <c r="I358" i="4"/>
  <c r="O688" i="4"/>
  <c r="F358" i="4"/>
  <c r="H358" i="4"/>
  <c r="F549" i="4"/>
  <c r="I549" i="4"/>
  <c r="O549" i="4"/>
  <c r="H549" i="4"/>
  <c r="J549" i="4"/>
  <c r="G549" i="4"/>
  <c r="O477" i="4"/>
  <c r="O724" i="4"/>
  <c r="O195" i="4"/>
  <c r="O66" i="4"/>
  <c r="J694" i="4"/>
  <c r="I694" i="4"/>
  <c r="G694" i="4"/>
  <c r="H694" i="4"/>
  <c r="F694" i="4"/>
  <c r="G689" i="4"/>
  <c r="I689" i="4"/>
  <c r="F650" i="4"/>
  <c r="H650" i="4"/>
  <c r="J650" i="4"/>
  <c r="G650" i="4"/>
  <c r="I650" i="4"/>
  <c r="H599" i="4"/>
  <c r="G599" i="4"/>
  <c r="I599" i="4"/>
  <c r="H558" i="4"/>
  <c r="J599" i="4"/>
  <c r="I533" i="4"/>
  <c r="J576" i="4"/>
  <c r="F564" i="4"/>
  <c r="H564" i="4"/>
  <c r="G564" i="4"/>
  <c r="I564" i="4"/>
  <c r="G533" i="4"/>
  <c r="F558" i="4"/>
  <c r="G558" i="4"/>
  <c r="I558" i="4"/>
  <c r="I502" i="4"/>
  <c r="H502" i="4"/>
  <c r="J500" i="4"/>
  <c r="J498" i="4" s="1"/>
  <c r="I500" i="4"/>
  <c r="H500" i="4"/>
  <c r="G500" i="4"/>
  <c r="F500" i="4"/>
  <c r="I499" i="4"/>
  <c r="H499" i="4"/>
  <c r="G499" i="4"/>
  <c r="F499" i="4"/>
  <c r="O788" i="4"/>
  <c r="O786" i="4"/>
  <c r="O785" i="4"/>
  <c r="O784" i="4"/>
  <c r="O783" i="4"/>
  <c r="O782" i="4"/>
  <c r="O781" i="4"/>
  <c r="O775" i="4"/>
  <c r="O774" i="4"/>
  <c r="O773" i="4"/>
  <c r="O400" i="4"/>
  <c r="O399" i="4"/>
  <c r="O398" i="4"/>
  <c r="O397" i="4"/>
  <c r="O396" i="4"/>
  <c r="O395" i="4"/>
  <c r="O394" i="4"/>
  <c r="J391" i="4"/>
  <c r="I391" i="4"/>
  <c r="H391" i="4"/>
  <c r="G391" i="4"/>
  <c r="F391" i="4"/>
  <c r="I386" i="4"/>
  <c r="G386" i="4"/>
  <c r="J385" i="4"/>
  <c r="I385" i="4"/>
  <c r="H385" i="4"/>
  <c r="F385" i="4"/>
  <c r="J384" i="4"/>
  <c r="I384" i="4"/>
  <c r="H384" i="4"/>
  <c r="F384" i="4"/>
  <c r="J383" i="4"/>
  <c r="I383" i="4"/>
  <c r="H383" i="4"/>
  <c r="F383" i="4"/>
  <c r="J382" i="4"/>
  <c r="I382" i="4"/>
  <c r="H382" i="4"/>
  <c r="G382" i="4"/>
  <c r="F382" i="4"/>
  <c r="J381" i="4"/>
  <c r="I381" i="4"/>
  <c r="H381" i="4"/>
  <c r="G381" i="4"/>
  <c r="F381" i="4"/>
  <c r="J380" i="4"/>
  <c r="I380" i="4"/>
  <c r="H380" i="4"/>
  <c r="G380" i="4"/>
  <c r="F380" i="4"/>
  <c r="J352" i="4"/>
  <c r="I352" i="4"/>
  <c r="H352" i="4"/>
  <c r="G352" i="4"/>
  <c r="G348" i="4" s="1"/>
  <c r="F352" i="4"/>
  <c r="J349" i="4"/>
  <c r="I349" i="4"/>
  <c r="H349" i="4"/>
  <c r="F349" i="4"/>
  <c r="F348" i="4" s="1"/>
  <c r="J294" i="4"/>
  <c r="I294" i="4"/>
  <c r="H294" i="4"/>
  <c r="G294" i="4"/>
  <c r="F294" i="4"/>
  <c r="I285" i="4"/>
  <c r="H285" i="4"/>
  <c r="G285" i="4"/>
  <c r="F285" i="4"/>
  <c r="I283" i="4"/>
  <c r="H283" i="4"/>
  <c r="J281" i="4"/>
  <c r="J279" i="4" s="1"/>
  <c r="I281" i="4"/>
  <c r="H281" i="4"/>
  <c r="G281" i="4"/>
  <c r="F281" i="4"/>
  <c r="I280" i="4"/>
  <c r="H280" i="4"/>
  <c r="G280" i="4"/>
  <c r="G279" i="4" s="1"/>
  <c r="F280" i="4"/>
  <c r="I171" i="4"/>
  <c r="H171" i="4"/>
  <c r="I169" i="4"/>
  <c r="H169" i="4"/>
  <c r="G169" i="4"/>
  <c r="G168" i="4" s="1"/>
  <c r="F169" i="4"/>
  <c r="F168" i="4" s="1"/>
  <c r="J168" i="4"/>
  <c r="I138" i="4"/>
  <c r="H138" i="4"/>
  <c r="J137" i="4"/>
  <c r="I137" i="4"/>
  <c r="H137" i="4"/>
  <c r="G137" i="4"/>
  <c r="F137" i="4"/>
  <c r="J136" i="4"/>
  <c r="I136" i="4"/>
  <c r="H136" i="4"/>
  <c r="G136" i="4"/>
  <c r="F136" i="4"/>
  <c r="J135" i="4"/>
  <c r="I135" i="4"/>
  <c r="H135" i="4"/>
  <c r="F135" i="4"/>
  <c r="I134" i="4"/>
  <c r="H134" i="4"/>
  <c r="G134" i="4"/>
  <c r="F134" i="4"/>
  <c r="I133" i="4"/>
  <c r="G133" i="4"/>
  <c r="J113" i="4"/>
  <c r="I113" i="4"/>
  <c r="H113" i="4"/>
  <c r="G113" i="4"/>
  <c r="F113" i="4"/>
  <c r="I108" i="4"/>
  <c r="G108" i="4"/>
  <c r="J107" i="4"/>
  <c r="I107" i="4"/>
  <c r="H107" i="4"/>
  <c r="F107" i="4"/>
  <c r="J106" i="4"/>
  <c r="I106" i="4"/>
  <c r="H106" i="4"/>
  <c r="F106" i="4"/>
  <c r="J105" i="4"/>
  <c r="I105" i="4"/>
  <c r="H105" i="4"/>
  <c r="F105" i="4"/>
  <c r="J104" i="4"/>
  <c r="I104" i="4"/>
  <c r="H104" i="4"/>
  <c r="G104" i="4"/>
  <c r="F104" i="4"/>
  <c r="J103" i="4"/>
  <c r="I103" i="4"/>
  <c r="H103" i="4"/>
  <c r="G103" i="4"/>
  <c r="F103" i="4"/>
  <c r="J102" i="4"/>
  <c r="I102" i="4"/>
  <c r="H102" i="4"/>
  <c r="G102" i="4"/>
  <c r="F102" i="4"/>
  <c r="O294" i="4"/>
  <c r="F279" i="4" l="1"/>
  <c r="F498" i="4"/>
  <c r="H168" i="4"/>
  <c r="G498" i="4"/>
  <c r="I168" i="4"/>
  <c r="F114" i="4"/>
  <c r="G131" i="4"/>
  <c r="F131" i="4"/>
  <c r="H131" i="4"/>
  <c r="G392" i="4"/>
  <c r="I392" i="4"/>
  <c r="F576" i="4"/>
  <c r="I131" i="4"/>
  <c r="J131" i="4"/>
  <c r="F392" i="4"/>
  <c r="H392" i="4"/>
  <c r="J392" i="4"/>
  <c r="H576" i="4"/>
  <c r="I498" i="4"/>
  <c r="G576" i="4"/>
  <c r="I576" i="4"/>
  <c r="H498" i="4"/>
  <c r="H279" i="4"/>
  <c r="I279" i="4"/>
  <c r="O14" i="4"/>
  <c r="O401" i="4"/>
  <c r="H348" i="4"/>
  <c r="J348" i="4"/>
  <c r="I348" i="4"/>
  <c r="G374" i="4"/>
  <c r="H374" i="4"/>
  <c r="I374" i="4"/>
  <c r="J374" i="4"/>
  <c r="F374" i="4"/>
  <c r="O334" i="4" l="1"/>
  <c r="O154" i="4"/>
  <c r="J124" i="4" l="1"/>
  <c r="I124" i="4"/>
  <c r="H124" i="4"/>
  <c r="G124" i="4"/>
  <c r="F124" i="4"/>
  <c r="O123" i="4"/>
  <c r="O752" i="4"/>
  <c r="O751" i="4"/>
  <c r="O750" i="4"/>
  <c r="O749" i="4"/>
  <c r="O418" i="4"/>
  <c r="O417" i="4"/>
  <c r="O416" i="4"/>
  <c r="F419" i="4"/>
  <c r="F420" i="4" s="1"/>
  <c r="G419" i="4"/>
  <c r="G420" i="4" s="1"/>
  <c r="H419" i="4"/>
  <c r="H420" i="4" s="1"/>
  <c r="I419" i="4"/>
  <c r="I420" i="4" s="1"/>
  <c r="J419" i="4"/>
  <c r="J420" i="4" s="1"/>
  <c r="O373" i="4"/>
  <c r="O372" i="4"/>
  <c r="O371" i="4"/>
  <c r="O370" i="4"/>
  <c r="O345" i="4"/>
  <c r="O346" i="4"/>
  <c r="O347" i="4"/>
  <c r="H317" i="4"/>
  <c r="I317" i="4"/>
  <c r="J317" i="4"/>
  <c r="O315" i="4"/>
  <c r="O308" i="4"/>
  <c r="O187" i="4"/>
  <c r="O335" i="4"/>
  <c r="O121" i="4"/>
  <c r="G820" i="4"/>
  <c r="H820" i="4"/>
  <c r="I820" i="4"/>
  <c r="J820" i="4"/>
  <c r="F820" i="4"/>
  <c r="O817" i="4"/>
  <c r="O818" i="4"/>
  <c r="O819" i="4"/>
  <c r="O816" i="4"/>
  <c r="M821" i="4"/>
  <c r="O808" i="4"/>
  <c r="O807" i="4"/>
  <c r="O755" i="4"/>
  <c r="O677" i="4"/>
  <c r="M734" i="4"/>
  <c r="O726" i="4"/>
  <c r="O592" i="4"/>
  <c r="M650" i="4"/>
  <c r="O646" i="4"/>
  <c r="O647" i="4"/>
  <c r="O649" i="4"/>
  <c r="O645" i="4"/>
  <c r="O628" i="4"/>
  <c r="O627" i="4"/>
  <c r="J629" i="4"/>
  <c r="I629" i="4"/>
  <c r="H629" i="4"/>
  <c r="G629" i="4"/>
  <c r="F629" i="4"/>
  <c r="O622" i="4"/>
  <c r="O624" i="4"/>
  <c r="O623" i="4"/>
  <c r="O621" i="4"/>
  <c r="O620" i="4"/>
  <c r="O619" i="4"/>
  <c r="O618" i="4"/>
  <c r="O617" i="4"/>
  <c r="O616" i="4"/>
  <c r="O595" i="4"/>
  <c r="O573" i="4"/>
  <c r="O574" i="4"/>
  <c r="O569" i="4"/>
  <c r="O567" i="4"/>
  <c r="O562" i="4"/>
  <c r="O537" i="4"/>
  <c r="O516" i="4"/>
  <c r="O490" i="4"/>
  <c r="F492" i="4"/>
  <c r="F494" i="4" s="1"/>
  <c r="G492" i="4"/>
  <c r="G494" i="4" s="1"/>
  <c r="H492" i="4"/>
  <c r="H494" i="4" s="1"/>
  <c r="I492" i="4"/>
  <c r="I494" i="4" s="1"/>
  <c r="J492" i="4"/>
  <c r="J494" i="4" s="1"/>
  <c r="O629" i="4" l="1"/>
  <c r="O820" i="4"/>
  <c r="O317" i="4"/>
  <c r="O753" i="4"/>
  <c r="O448" i="4" l="1"/>
  <c r="O412" i="4"/>
  <c r="O376" i="4"/>
  <c r="O337" i="4"/>
  <c r="O338" i="4"/>
  <c r="O339" i="4"/>
  <c r="O340" i="4"/>
  <c r="O341" i="4"/>
  <c r="O342" i="4"/>
  <c r="O352" i="4"/>
  <c r="O351" i="4"/>
  <c r="O350" i="4"/>
  <c r="M354" i="4"/>
  <c r="J353" i="4"/>
  <c r="J354" i="4" s="1"/>
  <c r="I353" i="4"/>
  <c r="I354" i="4" s="1"/>
  <c r="H353" i="4"/>
  <c r="H354" i="4" s="1"/>
  <c r="G353" i="4"/>
  <c r="G354" i="4" s="1"/>
  <c r="F353" i="4"/>
  <c r="F354" i="4" s="1"/>
  <c r="O353" i="4" l="1"/>
  <c r="F185" i="4"/>
  <c r="O188" i="4"/>
  <c r="O189" i="4" s="1"/>
  <c r="J189" i="4"/>
  <c r="I189" i="4"/>
  <c r="H189" i="4"/>
  <c r="G189" i="4"/>
  <c r="F189" i="4"/>
  <c r="F130" i="4"/>
  <c r="G130" i="4"/>
  <c r="H130" i="4"/>
  <c r="I130" i="4"/>
  <c r="J130" i="4"/>
  <c r="O72" i="4"/>
  <c r="J73" i="4"/>
  <c r="J74" i="4" s="1"/>
  <c r="I73" i="4"/>
  <c r="I74" i="4" s="1"/>
  <c r="H73" i="4"/>
  <c r="H74" i="4" s="1"/>
  <c r="G73" i="4"/>
  <c r="G74" i="4" s="1"/>
  <c r="F201" i="4" l="1"/>
  <c r="O585" i="4"/>
  <c r="O584" i="4"/>
  <c r="O583" i="4"/>
  <c r="O582" i="4"/>
  <c r="O581" i="4"/>
  <c r="O502" i="4"/>
  <c r="O501" i="4"/>
  <c r="O500" i="4"/>
  <c r="O499" i="4"/>
  <c r="O503" i="4" l="1"/>
  <c r="M756" i="4"/>
  <c r="M678" i="4"/>
  <c r="M599" i="4"/>
  <c r="M517" i="4"/>
  <c r="M449" i="4"/>
  <c r="M377" i="4"/>
  <c r="M295" i="4"/>
  <c r="M201" i="4"/>
  <c r="M26" i="4"/>
  <c r="M99" i="4"/>
  <c r="O25" i="4"/>
  <c r="O71" i="4" l="1"/>
  <c r="O70" i="4"/>
  <c r="O69" i="4"/>
  <c r="O613" i="4"/>
  <c r="O612" i="4"/>
  <c r="O611" i="4"/>
  <c r="O610" i="4"/>
  <c r="O609" i="4"/>
  <c r="O608" i="4"/>
  <c r="O607" i="4"/>
  <c r="O606" i="4"/>
  <c r="O605" i="4"/>
  <c r="O604" i="4"/>
  <c r="O603" i="4"/>
  <c r="O602" i="4"/>
  <c r="O642" i="4"/>
  <c r="O641" i="4"/>
  <c r="O640" i="4"/>
  <c r="I625" i="4"/>
  <c r="O445" i="4"/>
  <c r="O444" i="4"/>
  <c r="O336" i="4"/>
  <c r="O333" i="4"/>
  <c r="O283" i="4"/>
  <c r="O282" i="4"/>
  <c r="O281" i="4"/>
  <c r="O280" i="4"/>
  <c r="O183" i="4"/>
  <c r="O122" i="4"/>
  <c r="O182" i="4"/>
  <c r="O184" i="4"/>
  <c r="O179" i="4"/>
  <c r="O181" i="4"/>
  <c r="O44" i="4"/>
  <c r="O43" i="4"/>
  <c r="O42" i="4"/>
  <c r="O41" i="4"/>
  <c r="J45" i="4"/>
  <c r="I45" i="4"/>
  <c r="H45" i="4"/>
  <c r="G45" i="4"/>
  <c r="F45" i="4"/>
  <c r="J814" i="4"/>
  <c r="J821" i="4" s="1"/>
  <c r="I814" i="4"/>
  <c r="I821" i="4" s="1"/>
  <c r="H814" i="4"/>
  <c r="H821" i="4" s="1"/>
  <c r="G814" i="4"/>
  <c r="G821" i="4" s="1"/>
  <c r="F814" i="4"/>
  <c r="F821" i="4" s="1"/>
  <c r="O813" i="4"/>
  <c r="O812" i="4"/>
  <c r="O811" i="4"/>
  <c r="O810" i="4"/>
  <c r="O809" i="4"/>
  <c r="O806" i="4"/>
  <c r="O805" i="4"/>
  <c r="O804" i="4"/>
  <c r="M801" i="4"/>
  <c r="O800" i="4"/>
  <c r="J799" i="4"/>
  <c r="J801" i="4" s="1"/>
  <c r="I799" i="4"/>
  <c r="I801" i="4" s="1"/>
  <c r="H799" i="4"/>
  <c r="H801" i="4" s="1"/>
  <c r="G799" i="4"/>
  <c r="G801" i="4" s="1"/>
  <c r="F799" i="4"/>
  <c r="F801" i="4" s="1"/>
  <c r="O798" i="4"/>
  <c r="O797" i="4"/>
  <c r="O796" i="4"/>
  <c r="O769" i="4"/>
  <c r="O768" i="4"/>
  <c r="O767" i="4"/>
  <c r="O766" i="4"/>
  <c r="O765" i="4"/>
  <c r="O764" i="4"/>
  <c r="O763" i="4"/>
  <c r="O762" i="4"/>
  <c r="O761" i="4"/>
  <c r="O760" i="4"/>
  <c r="O759" i="4"/>
  <c r="M715" i="4"/>
  <c r="O714" i="4"/>
  <c r="J713" i="4"/>
  <c r="J715" i="4" s="1"/>
  <c r="I713" i="4"/>
  <c r="I715" i="4" s="1"/>
  <c r="H713" i="4"/>
  <c r="H715" i="4" s="1"/>
  <c r="G713" i="4"/>
  <c r="G715" i="4" s="1"/>
  <c r="F713" i="4"/>
  <c r="F715" i="4" s="1"/>
  <c r="O712" i="4"/>
  <c r="O711" i="4"/>
  <c r="O710" i="4"/>
  <c r="O702" i="4"/>
  <c r="O701" i="4"/>
  <c r="O700" i="4"/>
  <c r="O699" i="4"/>
  <c r="O698" i="4"/>
  <c r="O697" i="4"/>
  <c r="O694" i="4"/>
  <c r="O693" i="4"/>
  <c r="O692" i="4"/>
  <c r="O691" i="4"/>
  <c r="O690" i="4"/>
  <c r="M636" i="4"/>
  <c r="O635" i="4"/>
  <c r="O633" i="4"/>
  <c r="O632" i="4"/>
  <c r="O631" i="4"/>
  <c r="J625" i="4"/>
  <c r="H625" i="4"/>
  <c r="G625" i="4"/>
  <c r="F625" i="4"/>
  <c r="J614" i="4"/>
  <c r="I614" i="4"/>
  <c r="H614" i="4"/>
  <c r="G614" i="4"/>
  <c r="F614" i="4"/>
  <c r="O593" i="4"/>
  <c r="O599" i="4" s="1"/>
  <c r="O591" i="4"/>
  <c r="O590" i="4"/>
  <c r="O575" i="4"/>
  <c r="O568" i="4"/>
  <c r="O566" i="4"/>
  <c r="O565" i="4"/>
  <c r="O564" i="4"/>
  <c r="O576" i="4" s="1"/>
  <c r="O563" i="4"/>
  <c r="O561" i="4"/>
  <c r="O560" i="4"/>
  <c r="O559" i="4"/>
  <c r="M556" i="4"/>
  <c r="O555" i="4"/>
  <c r="J554" i="4"/>
  <c r="J556" i="4" s="1"/>
  <c r="I554" i="4"/>
  <c r="I556" i="4" s="1"/>
  <c r="H554" i="4"/>
  <c r="H556" i="4" s="1"/>
  <c r="G554" i="4"/>
  <c r="G556" i="4" s="1"/>
  <c r="F554" i="4"/>
  <c r="F556" i="4" s="1"/>
  <c r="O553" i="4"/>
  <c r="O552" i="4"/>
  <c r="O551" i="4"/>
  <c r="O541" i="4"/>
  <c r="O539" i="4"/>
  <c r="O538" i="4"/>
  <c r="O536" i="4"/>
  <c r="O535" i="4"/>
  <c r="O534" i="4"/>
  <c r="J514" i="4"/>
  <c r="J517" i="4" s="1"/>
  <c r="I514" i="4"/>
  <c r="I517" i="4" s="1"/>
  <c r="H514" i="4"/>
  <c r="H517" i="4" s="1"/>
  <c r="G514" i="4"/>
  <c r="G517" i="4" s="1"/>
  <c r="F514" i="4"/>
  <c r="F517" i="4" s="1"/>
  <c r="O513" i="4"/>
  <c r="O512" i="4"/>
  <c r="O511" i="4"/>
  <c r="O506" i="4"/>
  <c r="O505" i="4"/>
  <c r="M494" i="4"/>
  <c r="O491" i="4"/>
  <c r="O489" i="4"/>
  <c r="O488" i="4"/>
  <c r="M484" i="4"/>
  <c r="O483" i="4"/>
  <c r="J482" i="4"/>
  <c r="J484" i="4" s="1"/>
  <c r="I482" i="4"/>
  <c r="I484" i="4" s="1"/>
  <c r="H482" i="4"/>
  <c r="H484" i="4" s="1"/>
  <c r="G482" i="4"/>
  <c r="G484" i="4" s="1"/>
  <c r="F482" i="4"/>
  <c r="F484" i="4" s="1"/>
  <c r="O481" i="4"/>
  <c r="O480" i="4"/>
  <c r="O479" i="4"/>
  <c r="J446" i="4"/>
  <c r="I446" i="4"/>
  <c r="H446" i="4"/>
  <c r="G446" i="4"/>
  <c r="F446" i="4"/>
  <c r="J442" i="4"/>
  <c r="I442" i="4"/>
  <c r="H442" i="4"/>
  <c r="G442" i="4"/>
  <c r="F442" i="4"/>
  <c r="O441" i="4"/>
  <c r="O440" i="4"/>
  <c r="O439" i="4"/>
  <c r="M420" i="4"/>
  <c r="O419" i="4"/>
  <c r="M408" i="4"/>
  <c r="O407" i="4"/>
  <c r="J406" i="4"/>
  <c r="I406" i="4"/>
  <c r="H406" i="4"/>
  <c r="H408" i="4" s="1"/>
  <c r="G406" i="4"/>
  <c r="F406" i="4"/>
  <c r="F408" i="4" s="1"/>
  <c r="O405" i="4"/>
  <c r="O404" i="4"/>
  <c r="O403" i="4"/>
  <c r="J408" i="4"/>
  <c r="I408" i="4"/>
  <c r="G408" i="4"/>
  <c r="O390" i="4"/>
  <c r="O389" i="4"/>
  <c r="O388" i="4"/>
  <c r="O387" i="4"/>
  <c r="O386" i="4"/>
  <c r="O385" i="4"/>
  <c r="O384" i="4"/>
  <c r="O383" i="4"/>
  <c r="O382" i="4"/>
  <c r="O381" i="4"/>
  <c r="O380" i="4"/>
  <c r="O374" i="4"/>
  <c r="J368" i="4"/>
  <c r="J377" i="4" s="1"/>
  <c r="I368" i="4"/>
  <c r="I377" i="4" s="1"/>
  <c r="H368" i="4"/>
  <c r="H377" i="4" s="1"/>
  <c r="G368" i="4"/>
  <c r="G377" i="4" s="1"/>
  <c r="F368" i="4"/>
  <c r="F377" i="4" s="1"/>
  <c r="O367" i="4"/>
  <c r="O366" i="4"/>
  <c r="M330" i="4"/>
  <c r="O329" i="4"/>
  <c r="J328" i="4"/>
  <c r="J330" i="4" s="1"/>
  <c r="I328" i="4"/>
  <c r="I330" i="4" s="1"/>
  <c r="H328" i="4"/>
  <c r="H330" i="4" s="1"/>
  <c r="G328" i="4"/>
  <c r="G330" i="4" s="1"/>
  <c r="F328" i="4"/>
  <c r="F330" i="4" s="1"/>
  <c r="O327" i="4"/>
  <c r="O326" i="4"/>
  <c r="O325" i="4"/>
  <c r="J292" i="4"/>
  <c r="J295" i="4" s="1"/>
  <c r="I292" i="4"/>
  <c r="I295" i="4" s="1"/>
  <c r="H292" i="4"/>
  <c r="H295" i="4" s="1"/>
  <c r="G292" i="4"/>
  <c r="G295" i="4" s="1"/>
  <c r="F292" i="4"/>
  <c r="F295" i="4" s="1"/>
  <c r="O291" i="4"/>
  <c r="O290" i="4"/>
  <c r="O289" i="4"/>
  <c r="O288" i="4"/>
  <c r="M248" i="4"/>
  <c r="O247" i="4"/>
  <c r="J246" i="4"/>
  <c r="J248" i="4" s="1"/>
  <c r="I246" i="4"/>
  <c r="I248" i="4" s="1"/>
  <c r="H246" i="4"/>
  <c r="H248" i="4" s="1"/>
  <c r="G246" i="4"/>
  <c r="G248" i="4" s="1"/>
  <c r="F246" i="4"/>
  <c r="F248" i="4" s="1"/>
  <c r="O245" i="4"/>
  <c r="O244" i="4"/>
  <c r="O243" i="4"/>
  <c r="O241" i="4"/>
  <c r="O240" i="4"/>
  <c r="O239" i="4"/>
  <c r="O238" i="4"/>
  <c r="O237" i="4"/>
  <c r="O236" i="4"/>
  <c r="O235" i="4"/>
  <c r="O234" i="4"/>
  <c r="O233" i="4"/>
  <c r="O232" i="4"/>
  <c r="O231" i="4"/>
  <c r="O230" i="4"/>
  <c r="O229" i="4"/>
  <c r="J185" i="4"/>
  <c r="J201" i="4" s="1"/>
  <c r="I185" i="4"/>
  <c r="I201" i="4" s="1"/>
  <c r="H185" i="4"/>
  <c r="H201" i="4" s="1"/>
  <c r="G185" i="4"/>
  <c r="G201" i="4" s="1"/>
  <c r="O180" i="4"/>
  <c r="M174" i="4"/>
  <c r="J173" i="4"/>
  <c r="J174" i="4" s="1"/>
  <c r="I173" i="4"/>
  <c r="I174" i="4" s="1"/>
  <c r="H173" i="4"/>
  <c r="H174" i="4" s="1"/>
  <c r="G173" i="4"/>
  <c r="G174" i="4" s="1"/>
  <c r="F173" i="4"/>
  <c r="F174" i="4" s="1"/>
  <c r="O172" i="4"/>
  <c r="O171" i="4"/>
  <c r="O170" i="4"/>
  <c r="O169" i="4"/>
  <c r="O159" i="4"/>
  <c r="O156" i="4"/>
  <c r="O155" i="4"/>
  <c r="M147" i="4"/>
  <c r="O146" i="4"/>
  <c r="J145" i="4"/>
  <c r="I145" i="4"/>
  <c r="H145" i="4"/>
  <c r="G145" i="4"/>
  <c r="F145" i="4"/>
  <c r="F147" i="4" s="1"/>
  <c r="O144" i="4"/>
  <c r="O143" i="4"/>
  <c r="O142" i="4"/>
  <c r="O129" i="4"/>
  <c r="O127" i="4"/>
  <c r="O126" i="4"/>
  <c r="O120" i="4"/>
  <c r="O117" i="4"/>
  <c r="O116" i="4"/>
  <c r="J114" i="4"/>
  <c r="I114" i="4"/>
  <c r="H114" i="4"/>
  <c r="G114" i="4"/>
  <c r="O113" i="4"/>
  <c r="O110" i="4"/>
  <c r="O109" i="4"/>
  <c r="O108" i="4"/>
  <c r="O107" i="4"/>
  <c r="O106" i="4"/>
  <c r="O105" i="4"/>
  <c r="O104" i="4"/>
  <c r="O103" i="4"/>
  <c r="O102" i="4"/>
  <c r="J96" i="4"/>
  <c r="J99" i="4" s="1"/>
  <c r="I96" i="4"/>
  <c r="I99" i="4" s="1"/>
  <c r="H96" i="4"/>
  <c r="H99" i="4" s="1"/>
  <c r="G96" i="4"/>
  <c r="G99" i="4" s="1"/>
  <c r="F96" i="4"/>
  <c r="F99" i="4" s="1"/>
  <c r="O95" i="4"/>
  <c r="O94" i="4"/>
  <c r="O93" i="4"/>
  <c r="O92" i="4"/>
  <c r="M74" i="4"/>
  <c r="M52" i="4"/>
  <c r="O51" i="4"/>
  <c r="J50" i="4"/>
  <c r="I50" i="4"/>
  <c r="H50" i="4"/>
  <c r="G50" i="4"/>
  <c r="F50" i="4"/>
  <c r="O49" i="4"/>
  <c r="O48" i="4"/>
  <c r="O47" i="4"/>
  <c r="J22" i="4"/>
  <c r="J26" i="4" s="1"/>
  <c r="I22" i="4"/>
  <c r="I26" i="4" s="1"/>
  <c r="H22" i="4"/>
  <c r="H26" i="4" s="1"/>
  <c r="G22" i="4"/>
  <c r="G26" i="4" s="1"/>
  <c r="F22" i="4"/>
  <c r="F26" i="4" s="1"/>
  <c r="O21" i="4"/>
  <c r="O20" i="4"/>
  <c r="O19" i="4"/>
  <c r="G147" i="4" l="1"/>
  <c r="I147" i="4"/>
  <c r="H147" i="4"/>
  <c r="J147" i="4"/>
  <c r="F449" i="4"/>
  <c r="F495" i="4" s="1"/>
  <c r="H449" i="4"/>
  <c r="H495" i="4" s="1"/>
  <c r="J449" i="4"/>
  <c r="J495" i="4" s="1"/>
  <c r="G52" i="4"/>
  <c r="G75" i="4" s="1"/>
  <c r="I52" i="4"/>
  <c r="F52" i="4"/>
  <c r="F75" i="4" s="1"/>
  <c r="H52" i="4"/>
  <c r="H75" i="4" s="1"/>
  <c r="J52" i="4"/>
  <c r="G449" i="4"/>
  <c r="G495" i="4" s="1"/>
  <c r="I449" i="4"/>
  <c r="I495" i="4" s="1"/>
  <c r="F175" i="4"/>
  <c r="F636" i="4"/>
  <c r="F651" i="4" s="1"/>
  <c r="F822" i="4"/>
  <c r="H636" i="4"/>
  <c r="H651" i="4" s="1"/>
  <c r="F735" i="4"/>
  <c r="H735" i="4"/>
  <c r="O643" i="4"/>
  <c r="O650" i="4" s="1"/>
  <c r="O614" i="4"/>
  <c r="J636" i="4"/>
  <c r="J651" i="4" s="1"/>
  <c r="I636" i="4"/>
  <c r="I651" i="4" s="1"/>
  <c r="G636" i="4"/>
  <c r="G651" i="4" s="1"/>
  <c r="G735" i="4"/>
  <c r="I735" i="4"/>
  <c r="O446" i="4"/>
  <c r="O185" i="4"/>
  <c r="O420" i="4"/>
  <c r="O421" i="4" s="1"/>
  <c r="J355" i="4"/>
  <c r="H355" i="4"/>
  <c r="F355" i="4"/>
  <c r="I355" i="4"/>
  <c r="G355" i="4"/>
  <c r="O130" i="4"/>
  <c r="I175" i="4"/>
  <c r="O173" i="4"/>
  <c r="O246" i="4"/>
  <c r="O248" i="4" s="1"/>
  <c r="O442" i="4"/>
  <c r="O482" i="4"/>
  <c r="O484" i="4" s="1"/>
  <c r="O634" i="4"/>
  <c r="O695" i="4"/>
  <c r="O703" i="4"/>
  <c r="O713" i="4"/>
  <c r="O161" i="4"/>
  <c r="O492" i="4"/>
  <c r="O494" i="4" s="1"/>
  <c r="O507" i="4"/>
  <c r="O554" i="4"/>
  <c r="O734" i="4"/>
  <c r="O745" i="4"/>
  <c r="O756" i="4" s="1"/>
  <c r="O814" i="4"/>
  <c r="O821" i="4" s="1"/>
  <c r="O45" i="4"/>
  <c r="O73" i="4"/>
  <c r="O74" i="4" s="1"/>
  <c r="O22" i="4"/>
  <c r="O26" i="4" s="1"/>
  <c r="O50" i="4"/>
  <c r="O96" i="4"/>
  <c r="O99" i="4" s="1"/>
  <c r="O124" i="4"/>
  <c r="O145" i="4"/>
  <c r="O292" i="4"/>
  <c r="O328" i="4"/>
  <c r="O330" i="4" s="1"/>
  <c r="O368" i="4"/>
  <c r="O377" i="4" s="1"/>
  <c r="O392" i="4"/>
  <c r="O406" i="4"/>
  <c r="O514" i="4"/>
  <c r="O570" i="4"/>
  <c r="O678" i="4"/>
  <c r="O799" i="4"/>
  <c r="O801" i="4" s="1"/>
  <c r="O354" i="4"/>
  <c r="O114" i="4"/>
  <c r="F421" i="4"/>
  <c r="G421" i="4"/>
  <c r="H421" i="4"/>
  <c r="I421" i="4"/>
  <c r="J421" i="4"/>
  <c r="F577" i="4"/>
  <c r="G577" i="4"/>
  <c r="H577" i="4"/>
  <c r="I577" i="4"/>
  <c r="J577" i="4"/>
  <c r="J735" i="4"/>
  <c r="J822" i="4"/>
  <c r="O625" i="4"/>
  <c r="M296" i="1"/>
  <c r="G299" i="1"/>
  <c r="H299" i="1"/>
  <c r="I299" i="1"/>
  <c r="J299" i="1"/>
  <c r="F299" i="1"/>
  <c r="F300" i="1" s="1"/>
  <c r="M297" i="1"/>
  <c r="M298" i="1"/>
  <c r="O52" i="4" l="1"/>
  <c r="F823" i="4"/>
  <c r="O556" i="4"/>
  <c r="O517" i="4"/>
  <c r="O449" i="4"/>
  <c r="O495" i="4" s="1"/>
  <c r="O201" i="4"/>
  <c r="J75" i="4"/>
  <c r="O636" i="4"/>
  <c r="O651" i="4" s="1"/>
  <c r="I75" i="4"/>
  <c r="O408" i="4"/>
  <c r="O822" i="4"/>
  <c r="H822" i="4"/>
  <c r="O295" i="4"/>
  <c r="O355" i="4" s="1"/>
  <c r="O715" i="4"/>
  <c r="I822" i="4"/>
  <c r="G175" i="4"/>
  <c r="O174" i="4"/>
  <c r="G822" i="4"/>
  <c r="J175" i="4"/>
  <c r="O147" i="4"/>
  <c r="H175" i="4"/>
  <c r="O735" i="4" l="1"/>
  <c r="J823" i="4"/>
  <c r="O577" i="4"/>
  <c r="O175" i="4"/>
  <c r="O75" i="4"/>
  <c r="H823" i="4"/>
  <c r="I823" i="4"/>
  <c r="G823" i="4"/>
  <c r="G109" i="1"/>
  <c r="H109" i="1"/>
  <c r="I109" i="1"/>
  <c r="J109" i="1"/>
  <c r="F109" i="1"/>
  <c r="G264" i="1"/>
  <c r="H264" i="1"/>
  <c r="I264" i="1"/>
  <c r="J264" i="1"/>
  <c r="F264" i="1"/>
  <c r="G923" i="1"/>
  <c r="G924" i="1" s="1"/>
  <c r="G925" i="1" s="1"/>
  <c r="H923" i="1"/>
  <c r="H924" i="1" s="1"/>
  <c r="H925" i="1" s="1"/>
  <c r="I923" i="1"/>
  <c r="I924" i="1" s="1"/>
  <c r="I925" i="1" s="1"/>
  <c r="J923" i="1"/>
  <c r="J924" i="1" s="1"/>
  <c r="J925" i="1" s="1"/>
  <c r="F923" i="1"/>
  <c r="F924" i="1" s="1"/>
  <c r="F925" i="1" s="1"/>
  <c r="G813" i="1"/>
  <c r="H813" i="1"/>
  <c r="I813" i="1"/>
  <c r="J813" i="1"/>
  <c r="F813" i="1"/>
  <c r="M363" i="1"/>
  <c r="M362" i="1"/>
  <c r="M360" i="1"/>
  <c r="M359" i="1"/>
  <c r="M358" i="1"/>
  <c r="M357" i="1"/>
  <c r="G152" i="1"/>
  <c r="H152" i="1"/>
  <c r="I152" i="1"/>
  <c r="J152" i="1"/>
  <c r="F152" i="1"/>
  <c r="M364" i="1" l="1"/>
  <c r="O823" i="4"/>
  <c r="G142" i="1" l="1"/>
  <c r="H142" i="1"/>
  <c r="I142" i="1"/>
  <c r="J142" i="1"/>
  <c r="F142" i="1"/>
  <c r="G98" i="1"/>
  <c r="H98" i="1"/>
  <c r="I98" i="1"/>
  <c r="J98" i="1"/>
  <c r="F98" i="1"/>
  <c r="M96" i="1"/>
  <c r="M97" i="1"/>
  <c r="M92" i="1"/>
  <c r="J324" i="1" l="1"/>
  <c r="I324" i="1"/>
  <c r="H324" i="1"/>
  <c r="G324" i="1"/>
  <c r="F324" i="1"/>
  <c r="M334" i="1"/>
  <c r="M333" i="1"/>
  <c r="M332" i="1"/>
  <c r="M331" i="1"/>
  <c r="M151" i="1" l="1"/>
  <c r="M150" i="1"/>
  <c r="M149" i="1"/>
  <c r="M108" i="1"/>
  <c r="M107" i="1"/>
  <c r="M106" i="1"/>
  <c r="M105" i="1"/>
  <c r="M913" i="1"/>
  <c r="M914" i="1" s="1"/>
  <c r="M152" i="1" l="1"/>
  <c r="M771" i="1" l="1"/>
  <c r="F772" i="1"/>
  <c r="G772" i="1"/>
  <c r="H772" i="1"/>
  <c r="I772" i="1"/>
  <c r="J772" i="1"/>
  <c r="G800" i="1"/>
  <c r="H800" i="1"/>
  <c r="I800" i="1"/>
  <c r="J800" i="1"/>
  <c r="F800" i="1"/>
  <c r="G640" i="1" l="1"/>
  <c r="G643" i="1" s="1"/>
  <c r="H640" i="1"/>
  <c r="H643" i="1" s="1"/>
  <c r="I640" i="1"/>
  <c r="I643" i="1" s="1"/>
  <c r="J640" i="1"/>
  <c r="J643" i="1" s="1"/>
  <c r="F640" i="1"/>
  <c r="F643" i="1" s="1"/>
  <c r="M640" i="1" l="1"/>
  <c r="M919" i="1" l="1"/>
  <c r="G576" i="1"/>
  <c r="H576" i="1"/>
  <c r="I576" i="1"/>
  <c r="J576" i="1"/>
  <c r="F576" i="1"/>
  <c r="G480" i="1"/>
  <c r="H480" i="1"/>
  <c r="I480" i="1"/>
  <c r="J480" i="1"/>
  <c r="F480" i="1"/>
  <c r="G387" i="1"/>
  <c r="H387" i="1"/>
  <c r="I387" i="1"/>
  <c r="J387" i="1"/>
  <c r="F387" i="1"/>
  <c r="M82" i="1"/>
  <c r="G86" i="1"/>
  <c r="H86" i="1"/>
  <c r="I86" i="1"/>
  <c r="J86" i="1"/>
  <c r="F86" i="1"/>
  <c r="M922" i="1" l="1"/>
  <c r="M921" i="1"/>
  <c r="M920" i="1"/>
  <c r="M815" i="1"/>
  <c r="M814" i="1"/>
  <c r="M812" i="1"/>
  <c r="M811" i="1"/>
  <c r="M810" i="1"/>
  <c r="M807" i="1"/>
  <c r="M806" i="1"/>
  <c r="M805" i="1"/>
  <c r="M804" i="1"/>
  <c r="M803" i="1"/>
  <c r="M802" i="1"/>
  <c r="J816" i="1"/>
  <c r="J841" i="1" s="1"/>
  <c r="I816" i="1"/>
  <c r="I841" i="1" s="1"/>
  <c r="H816" i="1"/>
  <c r="H841" i="1" s="1"/>
  <c r="G816" i="1"/>
  <c r="G841" i="1" s="1"/>
  <c r="F816" i="1"/>
  <c r="F841" i="1" s="1"/>
  <c r="M733" i="1"/>
  <c r="M732" i="1"/>
  <c r="M642" i="1"/>
  <c r="M641" i="1"/>
  <c r="M578" i="1"/>
  <c r="M577" i="1"/>
  <c r="M575" i="1"/>
  <c r="M574" i="1"/>
  <c r="M573" i="1"/>
  <c r="J579" i="1"/>
  <c r="J590" i="1" s="1"/>
  <c r="I579" i="1"/>
  <c r="I590" i="1" s="1"/>
  <c r="H579" i="1"/>
  <c r="H590" i="1" s="1"/>
  <c r="G579" i="1"/>
  <c r="G590" i="1" s="1"/>
  <c r="F579" i="1"/>
  <c r="F590" i="1" s="1"/>
  <c r="J503" i="1"/>
  <c r="I503" i="1"/>
  <c r="H503" i="1"/>
  <c r="G503" i="1"/>
  <c r="F503" i="1"/>
  <c r="M482" i="1"/>
  <c r="M481" i="1"/>
  <c r="M479" i="1"/>
  <c r="M478" i="1"/>
  <c r="M477" i="1"/>
  <c r="M389" i="1"/>
  <c r="M388" i="1"/>
  <c r="M386" i="1"/>
  <c r="M385" i="1"/>
  <c r="M384" i="1"/>
  <c r="J390" i="1"/>
  <c r="G390" i="1"/>
  <c r="F390" i="1"/>
  <c r="J335" i="1"/>
  <c r="I335" i="1"/>
  <c r="I337" i="1" s="1"/>
  <c r="I340" i="1" s="1"/>
  <c r="H335" i="1"/>
  <c r="G335" i="1"/>
  <c r="G337" i="1" s="1"/>
  <c r="G340" i="1" s="1"/>
  <c r="F335" i="1"/>
  <c r="M293" i="1"/>
  <c r="M292" i="1"/>
  <c r="M291" i="1"/>
  <c r="M290" i="1"/>
  <c r="M289" i="1"/>
  <c r="M288" i="1"/>
  <c r="J300" i="1"/>
  <c r="I300" i="1"/>
  <c r="H300" i="1"/>
  <c r="G300" i="1"/>
  <c r="M272" i="1"/>
  <c r="M271" i="1"/>
  <c r="M270" i="1"/>
  <c r="M266" i="1"/>
  <c r="M265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J222" i="1"/>
  <c r="I222" i="1"/>
  <c r="H222" i="1"/>
  <c r="G222" i="1"/>
  <c r="F222" i="1"/>
  <c r="J195" i="1"/>
  <c r="I195" i="1"/>
  <c r="H195" i="1"/>
  <c r="G195" i="1"/>
  <c r="F195" i="1"/>
  <c r="M194" i="1"/>
  <c r="M154" i="1"/>
  <c r="M153" i="1"/>
  <c r="J131" i="1"/>
  <c r="J155" i="1" s="1"/>
  <c r="I131" i="1"/>
  <c r="I155" i="1" s="1"/>
  <c r="H131" i="1"/>
  <c r="H155" i="1" s="1"/>
  <c r="G131" i="1"/>
  <c r="G155" i="1" s="1"/>
  <c r="F131" i="1"/>
  <c r="F155" i="1" s="1"/>
  <c r="I111" i="1"/>
  <c r="I114" i="1" s="1"/>
  <c r="G111" i="1"/>
  <c r="G114" i="1" s="1"/>
  <c r="M95" i="1"/>
  <c r="M94" i="1"/>
  <c r="M93" i="1"/>
  <c r="J87" i="1"/>
  <c r="J88" i="1" s="1"/>
  <c r="I87" i="1"/>
  <c r="H87" i="1"/>
  <c r="H88" i="1" s="1"/>
  <c r="G87" i="1"/>
  <c r="F87" i="1"/>
  <c r="F88" i="1" s="1"/>
  <c r="M85" i="1"/>
  <c r="M84" i="1"/>
  <c r="M83" i="1"/>
  <c r="I483" i="1" l="1"/>
  <c r="I517" i="1" s="1"/>
  <c r="F483" i="1"/>
  <c r="F517" i="1" s="1"/>
  <c r="J483" i="1"/>
  <c r="J517" i="1" s="1"/>
  <c r="M258" i="1"/>
  <c r="F734" i="1"/>
  <c r="F755" i="1" s="1"/>
  <c r="J734" i="1"/>
  <c r="J755" i="1" s="1"/>
  <c r="G421" i="1"/>
  <c r="M813" i="1"/>
  <c r="M98" i="1"/>
  <c r="G267" i="1"/>
  <c r="H734" i="1"/>
  <c r="H755" i="1" s="1"/>
  <c r="M324" i="1"/>
  <c r="I267" i="1"/>
  <c r="I390" i="1"/>
  <c r="I421" i="1" s="1"/>
  <c r="H483" i="1"/>
  <c r="H517" i="1" s="1"/>
  <c r="G610" i="1"/>
  <c r="G665" i="1" s="1"/>
  <c r="M808" i="1"/>
  <c r="I610" i="1"/>
  <c r="I665" i="1" s="1"/>
  <c r="H390" i="1"/>
  <c r="G483" i="1"/>
  <c r="G517" i="1" s="1"/>
  <c r="M503" i="1"/>
  <c r="M576" i="1"/>
  <c r="M222" i="1"/>
  <c r="M195" i="1"/>
  <c r="M131" i="1"/>
  <c r="M86" i="1"/>
  <c r="M87" i="1" s="1"/>
  <c r="G88" i="1"/>
  <c r="I88" i="1"/>
  <c r="F111" i="1"/>
  <c r="F114" i="1" s="1"/>
  <c r="H111" i="1"/>
  <c r="H114" i="1" s="1"/>
  <c r="J111" i="1"/>
  <c r="J114" i="1" s="1"/>
  <c r="M109" i="1"/>
  <c r="M142" i="1"/>
  <c r="F267" i="1"/>
  <c r="H267" i="1"/>
  <c r="H313" i="1" s="1"/>
  <c r="J267" i="1"/>
  <c r="M299" i="1"/>
  <c r="F337" i="1"/>
  <c r="F340" i="1" s="1"/>
  <c r="H337" i="1"/>
  <c r="H340" i="1" s="1"/>
  <c r="J337" i="1"/>
  <c r="J340" i="1" s="1"/>
  <c r="M335" i="1"/>
  <c r="M387" i="1"/>
  <c r="M480" i="1"/>
  <c r="F610" i="1"/>
  <c r="F665" i="1" s="1"/>
  <c r="H610" i="1"/>
  <c r="H665" i="1" s="1"/>
  <c r="J610" i="1"/>
  <c r="J665" i="1" s="1"/>
  <c r="G734" i="1"/>
  <c r="G755" i="1" s="1"/>
  <c r="I734" i="1"/>
  <c r="I755" i="1" s="1"/>
  <c r="M772" i="1"/>
  <c r="M800" i="1"/>
  <c r="M923" i="1"/>
  <c r="M579" i="1" l="1"/>
  <c r="M816" i="1"/>
  <c r="F313" i="1"/>
  <c r="J313" i="1"/>
  <c r="M337" i="1"/>
  <c r="G313" i="1"/>
  <c r="I313" i="1"/>
  <c r="M734" i="1"/>
  <c r="M755" i="1" s="1"/>
  <c r="M390" i="1"/>
  <c r="M418" i="1" s="1"/>
  <c r="M300" i="1"/>
  <c r="M483" i="1"/>
  <c r="M267" i="1"/>
  <c r="M155" i="1"/>
  <c r="M111" i="1"/>
  <c r="M114" i="1" s="1"/>
  <c r="H421" i="1"/>
  <c r="M610" i="1"/>
  <c r="J421" i="1"/>
  <c r="F421" i="1"/>
  <c r="M421" i="1" l="1"/>
  <c r="M170" i="1"/>
  <c r="M313" i="1"/>
  <c r="M925" i="1"/>
  <c r="M517" i="1"/>
  <c r="M184" i="1"/>
  <c r="M88" i="1"/>
  <c r="M926" i="1" l="1"/>
  <c r="J163" i="1"/>
  <c r="J169" i="1" s="1"/>
  <c r="F163" i="1"/>
  <c r="F169" i="1" s="1"/>
  <c r="F170" i="1" s="1"/>
  <c r="F184" i="1"/>
  <c r="F926" i="1" s="1"/>
  <c r="G163" i="1"/>
  <c r="G169" i="1" s="1"/>
  <c r="H163" i="1"/>
  <c r="H169" i="1" s="1"/>
  <c r="I163" i="1"/>
  <c r="I169" i="1" s="1"/>
  <c r="I170" i="1" s="1"/>
  <c r="I184" i="1"/>
  <c r="I926" i="1" s="1"/>
  <c r="G184" i="1" l="1"/>
  <c r="G926" i="1" s="1"/>
  <c r="G170" i="1"/>
  <c r="H184" i="1"/>
  <c r="H170" i="1"/>
  <c r="J184" i="1"/>
  <c r="J926" i="1" s="1"/>
  <c r="J170" i="1"/>
</calcChain>
</file>

<file path=xl/sharedStrings.xml><?xml version="1.0" encoding="utf-8"?>
<sst xmlns="http://schemas.openxmlformats.org/spreadsheetml/2006/main" count="2839" uniqueCount="435">
  <si>
    <t>Приём пищи</t>
  </si>
  <si>
    <t>Наименование блюд</t>
  </si>
  <si>
    <t>Выход блюд</t>
  </si>
  <si>
    <t xml:space="preserve">Брутто </t>
  </si>
  <si>
    <t xml:space="preserve">Нетто </t>
  </si>
  <si>
    <t xml:space="preserve">Белки </t>
  </si>
  <si>
    <t xml:space="preserve">Жиры </t>
  </si>
  <si>
    <t>Углев.</t>
  </si>
  <si>
    <t>Ккал</t>
  </si>
  <si>
    <t>Витамин С</t>
  </si>
  <si>
    <t>№ рецепуры</t>
  </si>
  <si>
    <t>Объём блюд по приёмам пищи (норма)</t>
  </si>
  <si>
    <t>Объём блюд по приёмам пищи (факт)</t>
  </si>
  <si>
    <t>Цена продуктов исходя из среднестастических цен по СК</t>
  </si>
  <si>
    <t>Стоимость</t>
  </si>
  <si>
    <t>1 ДЕНЬ</t>
  </si>
  <si>
    <t xml:space="preserve">ЗАВТРАК                    </t>
  </si>
  <si>
    <t>400-550</t>
  </si>
  <si>
    <t>Крупа рисовая</t>
  </si>
  <si>
    <t xml:space="preserve">Вода </t>
  </si>
  <si>
    <t>Сахар</t>
  </si>
  <si>
    <t>Масло сливочное</t>
  </si>
  <si>
    <t xml:space="preserve">Соль </t>
  </si>
  <si>
    <t>Бутерброд с маслом</t>
  </si>
  <si>
    <t>№1/2005</t>
  </si>
  <si>
    <t xml:space="preserve">Хлеб  йодированный </t>
  </si>
  <si>
    <t>Итого за завтрак</t>
  </si>
  <si>
    <t xml:space="preserve">ОБЕД                             </t>
  </si>
  <si>
    <t>Суп рыбный из консервов</t>
  </si>
  <si>
    <t>600-800</t>
  </si>
  <si>
    <t>Картофель</t>
  </si>
  <si>
    <t>Морковь</t>
  </si>
  <si>
    <t>Лук репчатый</t>
  </si>
  <si>
    <t>Мука пшеничная</t>
  </si>
  <si>
    <t xml:space="preserve">Яйца </t>
  </si>
  <si>
    <t>-</t>
  </si>
  <si>
    <t xml:space="preserve">Картофель </t>
  </si>
  <si>
    <t>Масло растительное</t>
  </si>
  <si>
    <t>Сахар - песок</t>
  </si>
  <si>
    <t>Хлеб ржаной</t>
  </si>
  <si>
    <t>Хлеб пшеничный</t>
  </si>
  <si>
    <t>Итогоза обед:</t>
  </si>
  <si>
    <t xml:space="preserve">ПОЛДНИК                    </t>
  </si>
  <si>
    <t>250-350</t>
  </si>
  <si>
    <t xml:space="preserve">Молоко </t>
  </si>
  <si>
    <t>Пряники</t>
  </si>
  <si>
    <t>Итого за полдник:</t>
  </si>
  <si>
    <t xml:space="preserve">УЖИН                        </t>
  </si>
  <si>
    <t xml:space="preserve"> </t>
  </si>
  <si>
    <t xml:space="preserve">Сахар </t>
  </si>
  <si>
    <t>Итого за ужин:</t>
  </si>
  <si>
    <t>Итого за 1 день:</t>
  </si>
  <si>
    <t>2 ДЕНЬ</t>
  </si>
  <si>
    <t xml:space="preserve">Завтрак                     </t>
  </si>
  <si>
    <t>Крупа манная</t>
  </si>
  <si>
    <t>Кофейный напиток с молоком</t>
  </si>
  <si>
    <t>Кофейный напиток</t>
  </si>
  <si>
    <t>Итого за завтрак:</t>
  </si>
  <si>
    <t xml:space="preserve">ОБЕД                         </t>
  </si>
  <si>
    <t xml:space="preserve">Морковь </t>
  </si>
  <si>
    <t>Томатное пюре</t>
  </si>
  <si>
    <t>Лавровый лист</t>
  </si>
  <si>
    <t xml:space="preserve">Сметана </t>
  </si>
  <si>
    <t>Зразы рубленные</t>
  </si>
  <si>
    <t>№274/2005</t>
  </si>
  <si>
    <t>Говядина (котл. Мясо)</t>
  </si>
  <si>
    <t>Молоко или вода</t>
  </si>
  <si>
    <t xml:space="preserve">Фарш: </t>
  </si>
  <si>
    <t xml:space="preserve">Сухари </t>
  </si>
  <si>
    <t>Пюре из бобовых с маслом</t>
  </si>
  <si>
    <t>№199/2005</t>
  </si>
  <si>
    <t>Горох</t>
  </si>
  <si>
    <t>Чай с сахаром</t>
  </si>
  <si>
    <t>г/п</t>
  </si>
  <si>
    <t>Итого за обед:</t>
  </si>
  <si>
    <t xml:space="preserve">ПОЛДНИК                 </t>
  </si>
  <si>
    <t xml:space="preserve">Повидло </t>
  </si>
  <si>
    <t xml:space="preserve">Дрожжи  </t>
  </si>
  <si>
    <t>Вафли</t>
  </si>
  <si>
    <t>Итого за 2 день:</t>
  </si>
  <si>
    <t>3 ДЕНЬ</t>
  </si>
  <si>
    <t>Омлет натуральный</t>
  </si>
  <si>
    <t>Масса готового омлета</t>
  </si>
  <si>
    <t>Рассольник ленинградский со сметаной</t>
  </si>
  <si>
    <t>200/4</t>
  </si>
  <si>
    <t>№96/2005</t>
  </si>
  <si>
    <t>Крупа перловая</t>
  </si>
  <si>
    <t>Огурцы солёные</t>
  </si>
  <si>
    <t>Шницель рыбный натуральный</t>
  </si>
  <si>
    <t>Пюре картофельное</t>
  </si>
  <si>
    <t>№312/2005</t>
  </si>
  <si>
    <t xml:space="preserve">Картофель  </t>
  </si>
  <si>
    <t>22,5*</t>
  </si>
  <si>
    <t>№406/2005</t>
  </si>
  <si>
    <t>Яйцо куриное</t>
  </si>
  <si>
    <t>Дрожжи сухие</t>
  </si>
  <si>
    <t>Масса теста</t>
  </si>
  <si>
    <t>Мука на подпыл</t>
  </si>
  <si>
    <t>Яйца для смазки пирожков</t>
  </si>
  <si>
    <t>Какао с  молоком</t>
  </si>
  <si>
    <t>Какао – порошок</t>
  </si>
  <si>
    <t>Итого за 3 день:</t>
  </si>
  <si>
    <t>4 ДЕНЬ</t>
  </si>
  <si>
    <t>Каша жидкая молочная из пшённой крупы</t>
  </si>
  <si>
    <t>№182/2005</t>
  </si>
  <si>
    <t>Крупа пшённая</t>
  </si>
  <si>
    <t>Хлеб йодированный</t>
  </si>
  <si>
    <t xml:space="preserve">ОБЕД                       </t>
  </si>
  <si>
    <t>Суп картофельный с клёцками</t>
  </si>
  <si>
    <t>№108/2005</t>
  </si>
  <si>
    <t>Клёцки готовые №109</t>
  </si>
  <si>
    <t xml:space="preserve">Вода или молоко </t>
  </si>
  <si>
    <t>Соль</t>
  </si>
  <si>
    <t>Томатная паста</t>
  </si>
  <si>
    <t xml:space="preserve">ПОЛДНИК             </t>
  </si>
  <si>
    <t>Бутерброд с повидлом</t>
  </si>
  <si>
    <t>№2/2005</t>
  </si>
  <si>
    <t>Итого за 4 день:</t>
  </si>
  <si>
    <t>5 ДЕНЬ</t>
  </si>
  <si>
    <t xml:space="preserve">ЗАВТРАК                  </t>
  </si>
  <si>
    <t>Вода</t>
  </si>
  <si>
    <t>Масса отварных макарон</t>
  </si>
  <si>
    <t xml:space="preserve">Свекла </t>
  </si>
  <si>
    <t>Рагу из птицы</t>
  </si>
  <si>
    <t>Крендель сахарный</t>
  </si>
  <si>
    <t>№415/2005</t>
  </si>
  <si>
    <t>Сливочное масло</t>
  </si>
  <si>
    <t>Яйца для смазки</t>
  </si>
  <si>
    <t xml:space="preserve">Дрожжи </t>
  </si>
  <si>
    <t xml:space="preserve">Ванилин </t>
  </si>
  <si>
    <t>Масло растительное для смазки</t>
  </si>
  <si>
    <t>Итого за 5 день:</t>
  </si>
  <si>
    <t>6 ДЕНЬ</t>
  </si>
  <si>
    <t xml:space="preserve">ОБЕД                          </t>
  </si>
  <si>
    <t>№102/2005</t>
  </si>
  <si>
    <t>Фасоль или горох</t>
  </si>
  <si>
    <t xml:space="preserve">ПОЛДНИК                </t>
  </si>
  <si>
    <t>Печенье</t>
  </si>
  <si>
    <t>Итого за 6 день:</t>
  </si>
  <si>
    <t>7 ДЕНЬ</t>
  </si>
  <si>
    <t xml:space="preserve">ЗАВТРАК                   </t>
  </si>
  <si>
    <t>Молоко</t>
  </si>
  <si>
    <t xml:space="preserve">ОБЕД                           </t>
  </si>
  <si>
    <t>Макаронные изделия отварные с маслом</t>
  </si>
  <si>
    <t>Макаронные изделия</t>
  </si>
  <si>
    <t>Пирожки печёные сдобные из дрожжевого теста с повидлом</t>
  </si>
  <si>
    <t>Повидло или джем</t>
  </si>
  <si>
    <t>Растительное мсло для смазки</t>
  </si>
  <si>
    <t>Итого за 7 день:</t>
  </si>
  <si>
    <t>8 ДЕНЬ</t>
  </si>
  <si>
    <t xml:space="preserve">ОБЕД                      </t>
  </si>
  <si>
    <t xml:space="preserve">Горошек зелёный консервированный  </t>
  </si>
  <si>
    <t>Сметана</t>
  </si>
  <si>
    <t>Итого:</t>
  </si>
  <si>
    <t>Итого за 8 день:</t>
  </si>
  <si>
    <t>9 ДЕНЬ</t>
  </si>
  <si>
    <t>Борщ с капустой и картофелем со сметаной</t>
  </si>
  <si>
    <t>№82/2005</t>
  </si>
  <si>
    <t>Свекла</t>
  </si>
  <si>
    <t>Капуста свежая</t>
  </si>
  <si>
    <t>Икра свекольная</t>
  </si>
  <si>
    <t>№75/2005</t>
  </si>
  <si>
    <t>112*</t>
  </si>
  <si>
    <t>Яйца</t>
  </si>
  <si>
    <t>Итого за 9 день:</t>
  </si>
  <si>
    <t>10 ДЕНЬ</t>
  </si>
  <si>
    <t xml:space="preserve">ОБЕД                        </t>
  </si>
  <si>
    <t>Плов из птицы</t>
  </si>
  <si>
    <t>Итого за 10 день:</t>
  </si>
  <si>
    <t>Итого за 10 дней</t>
  </si>
  <si>
    <t>Норма</t>
  </si>
  <si>
    <t>% от нормы</t>
  </si>
  <si>
    <t xml:space="preserve">Объём </t>
  </si>
  <si>
    <t>пищи</t>
  </si>
  <si>
    <t>Объём</t>
  </si>
  <si>
    <t xml:space="preserve">Завтрак </t>
  </si>
  <si>
    <t>Обед</t>
  </si>
  <si>
    <t>норма</t>
  </si>
  <si>
    <t>факт</t>
  </si>
  <si>
    <t>№397/2014</t>
  </si>
  <si>
    <t>Компот из сушёных фруктов</t>
  </si>
  <si>
    <t>№376/2014</t>
  </si>
  <si>
    <t>Фрукты сушёные (смесь)</t>
  </si>
  <si>
    <t>45*</t>
  </si>
  <si>
    <t>Чай-заварка №391</t>
  </si>
  <si>
    <t>Чай высшего сорта</t>
  </si>
  <si>
    <t>№395/2014</t>
  </si>
  <si>
    <t>180/10</t>
  </si>
  <si>
    <t>№392/2014</t>
  </si>
  <si>
    <t>Масса полуфабриката</t>
  </si>
  <si>
    <t>1/8шт.</t>
  </si>
  <si>
    <t>№305/2014</t>
  </si>
  <si>
    <t>№94/2014</t>
  </si>
  <si>
    <t>Суп молочный с макаронными изделиями</t>
  </si>
  <si>
    <t>№93/2014</t>
  </si>
  <si>
    <t>№304/2014</t>
  </si>
  <si>
    <t>3.</t>
  </si>
  <si>
    <t>Суп молочный с манной крупой</t>
  </si>
  <si>
    <t>1/13шт.</t>
  </si>
  <si>
    <t>1/30шт.</t>
  </si>
  <si>
    <t>Изюм</t>
  </si>
  <si>
    <t>Ванилин</t>
  </si>
  <si>
    <t>Масса готового пудинга</t>
  </si>
  <si>
    <t>Творог</t>
  </si>
  <si>
    <t>Полдник</t>
  </si>
  <si>
    <t>ЗАВТРАК 2</t>
  </si>
  <si>
    <t>Сок фруктовый</t>
  </si>
  <si>
    <t>№389/2005</t>
  </si>
  <si>
    <t>Завтрак 2</t>
  </si>
  <si>
    <t>Бутерброд с сыром</t>
  </si>
  <si>
    <t>№3/2005</t>
  </si>
  <si>
    <t>Сыр российский</t>
  </si>
  <si>
    <t>Шницель рубленный</t>
  </si>
  <si>
    <t>№282/2014</t>
  </si>
  <si>
    <t>Вермишель, макаронные изделия</t>
  </si>
  <si>
    <t>1/9шт.</t>
  </si>
  <si>
    <t>№217/2014</t>
  </si>
  <si>
    <t>Суп картофельный с бобовыми (горох)</t>
  </si>
  <si>
    <t>Масса омлетной смеси</t>
  </si>
  <si>
    <t>1/6шт</t>
  </si>
  <si>
    <t>1/10шт</t>
  </si>
  <si>
    <t>Соус молочный (сладкий)</t>
  </si>
  <si>
    <t>№302/2005</t>
  </si>
  <si>
    <t>389/2005</t>
  </si>
  <si>
    <t>70/5</t>
  </si>
  <si>
    <t xml:space="preserve">Каша  жидкая молочная из манной крупы  </t>
  </si>
  <si>
    <t>181/2005</t>
  </si>
  <si>
    <t>крупа манная</t>
  </si>
  <si>
    <t>молоко</t>
  </si>
  <si>
    <t>вода</t>
  </si>
  <si>
    <t>сахар-песок</t>
  </si>
  <si>
    <t>соль йодированная</t>
  </si>
  <si>
    <t>Молоко кипяченое</t>
  </si>
  <si>
    <t>Борщ со свежей капустой и картофелем со сметаной</t>
  </si>
  <si>
    <t>82/2005</t>
  </si>
  <si>
    <t>свекла</t>
  </si>
  <si>
    <t>капуста белокачанная свежая</t>
  </si>
  <si>
    <t>картофель</t>
  </si>
  <si>
    <t>морковь</t>
  </si>
  <si>
    <t>лук репчатый</t>
  </si>
  <si>
    <t>томатная паста</t>
  </si>
  <si>
    <t>масло растительное подсолнечное</t>
  </si>
  <si>
    <t>лавровый лист</t>
  </si>
  <si>
    <t>вода или бульон</t>
  </si>
  <si>
    <t>сметана</t>
  </si>
  <si>
    <t>Соус красный основной</t>
  </si>
  <si>
    <t xml:space="preserve">вода </t>
  </si>
  <si>
    <t>мука пшеничная в/с</t>
  </si>
  <si>
    <t>№759/2009</t>
  </si>
  <si>
    <t>395/2014</t>
  </si>
  <si>
    <t xml:space="preserve">кофейный напиток </t>
  </si>
  <si>
    <t>Рыба, тушеная в томате с овощами</t>
  </si>
  <si>
    <t>минтай или хек</t>
  </si>
  <si>
    <t>Каша жидкая молочная из гречневой крупы с сахаром</t>
  </si>
  <si>
    <t>гречневая крупа</t>
  </si>
  <si>
    <t>№183/2005</t>
  </si>
  <si>
    <t>Суп картофельный на бульоне со сметаной</t>
  </si>
  <si>
    <t>укроп</t>
  </si>
  <si>
    <t>бульон</t>
  </si>
  <si>
    <t>Птица отварная</t>
  </si>
  <si>
    <t>бройлер-цыпленок</t>
  </si>
  <si>
    <t>свекла свежая</t>
  </si>
  <si>
    <t xml:space="preserve">лук репчатый </t>
  </si>
  <si>
    <t>Чай с молоком</t>
  </si>
  <si>
    <t>394/2014</t>
  </si>
  <si>
    <t>чай-заварка</t>
  </si>
  <si>
    <t>391/2014</t>
  </si>
  <si>
    <t>Напиток из плодов шиповника</t>
  </si>
  <si>
    <t>398/2014</t>
  </si>
  <si>
    <t>Плоды шиповника сушеные</t>
  </si>
  <si>
    <t>Каша рисовая молочная жидкая</t>
  </si>
  <si>
    <t>182/2005</t>
  </si>
  <si>
    <t>крупа рисовая</t>
  </si>
  <si>
    <t>1,5 шт.</t>
  </si>
  <si>
    <t>Цыпленок бройлер</t>
  </si>
  <si>
    <t>Суп картофельный с макаронными изделиями</t>
  </si>
  <si>
    <t>макароны или лапша или вермишель</t>
  </si>
  <si>
    <t>№103/2005</t>
  </si>
  <si>
    <t>сухари панировочные</t>
  </si>
  <si>
    <t>масло сливочное"Крестьянское"</t>
  </si>
  <si>
    <t>яйцо куриное столовое,гр</t>
  </si>
  <si>
    <t>масло сливочное крестьянское</t>
  </si>
  <si>
    <t>дрожжи пекарские сухие</t>
  </si>
  <si>
    <t>883/2009</t>
  </si>
  <si>
    <t>Котлета рубленная из бройлер-цыплят</t>
  </si>
  <si>
    <t>хлеб пшеничный</t>
  </si>
  <si>
    <t>внутренний жир</t>
  </si>
  <si>
    <t>масло растительное</t>
  </si>
  <si>
    <t>масло сливочное</t>
  </si>
  <si>
    <t>Капуста тушеная</t>
  </si>
  <si>
    <t>139/2005</t>
  </si>
  <si>
    <t>мука пшеничная</t>
  </si>
  <si>
    <t>сахар - песок</t>
  </si>
  <si>
    <t>раствор лимонной кислоты</t>
  </si>
  <si>
    <t xml:space="preserve">Вареники ленивые </t>
  </si>
  <si>
    <t>217,218/2005</t>
  </si>
  <si>
    <t>творог</t>
  </si>
  <si>
    <t>яйцо куриное, гр</t>
  </si>
  <si>
    <t>795/2009</t>
  </si>
  <si>
    <t>сахар</t>
  </si>
  <si>
    <t>ванилин</t>
  </si>
  <si>
    <t>Макаронные изделия отварные с сыром</t>
  </si>
  <si>
    <t>204/2005</t>
  </si>
  <si>
    <t>макаронные изделия в/с</t>
  </si>
  <si>
    <t>сыр Российский</t>
  </si>
  <si>
    <t>Птица, тушеная в соусе</t>
  </si>
  <si>
    <t>масса жареной птицы</t>
  </si>
  <si>
    <t>759/2009</t>
  </si>
  <si>
    <t>Каша гречневая рассыпчатая</t>
  </si>
  <si>
    <t>Крупа гречневая из ядрицы быстроразваривающаяся</t>
  </si>
  <si>
    <t>Масса каши</t>
  </si>
  <si>
    <t>крахмал картофельный</t>
  </si>
  <si>
    <t>№203/2005</t>
  </si>
  <si>
    <t>№229/2005</t>
  </si>
  <si>
    <t>№398/2014</t>
  </si>
  <si>
    <t>№36/2007</t>
  </si>
  <si>
    <t>№637/2009</t>
  </si>
  <si>
    <t>№295/2005</t>
  </si>
  <si>
    <t>Ватрушка с творогом</t>
  </si>
  <si>
    <t>405,410,468/2005</t>
  </si>
  <si>
    <t>Фар творожный</t>
  </si>
  <si>
    <t>мука пшеничная в/с на подпыл</t>
  </si>
  <si>
    <t>яйцо куриное столовое,гр для смазки ватрушек</t>
  </si>
  <si>
    <t>масло растительное для смазки листов</t>
  </si>
  <si>
    <t>Хлеб пшеничный йодированный</t>
  </si>
  <si>
    <t>643/2009</t>
  </si>
  <si>
    <t>60/60</t>
  </si>
  <si>
    <t>Соус сметанный с луком</t>
  </si>
  <si>
    <t>№332/2005</t>
  </si>
  <si>
    <t>Соус сметанный</t>
  </si>
  <si>
    <t>Выход с сахаром</t>
  </si>
  <si>
    <t>Кнели куриные с рисом</t>
  </si>
  <si>
    <t>№312/2014</t>
  </si>
  <si>
    <t>60/5</t>
  </si>
  <si>
    <t>Масса готовой рисовой каши</t>
  </si>
  <si>
    <t xml:space="preserve">масло сливочное </t>
  </si>
  <si>
    <t>мука</t>
  </si>
  <si>
    <t>Яйцо отварное</t>
  </si>
  <si>
    <t>Яблоко свежее</t>
  </si>
  <si>
    <t>1 шт.</t>
  </si>
  <si>
    <t>Икра кабачковая</t>
  </si>
  <si>
    <t>Сельдь с луком</t>
  </si>
  <si>
    <t>Сельдь слабосоленая</t>
  </si>
  <si>
    <t>№76/2005</t>
  </si>
  <si>
    <t>Гуляш</t>
  </si>
  <si>
    <t>50/50</t>
  </si>
  <si>
    <t>Пудинг из творога</t>
  </si>
  <si>
    <t>№235/2014</t>
  </si>
  <si>
    <t>Ряженка</t>
  </si>
  <si>
    <t>№401/2014</t>
  </si>
  <si>
    <t>№260/2005</t>
  </si>
  <si>
    <t>Масса тушеного мяса</t>
  </si>
  <si>
    <t>Масса соуса</t>
  </si>
  <si>
    <t>Ассорти с крошкой</t>
  </si>
  <si>
    <t>№42/2007</t>
  </si>
  <si>
    <t>Кисель из сока плодового</t>
  </si>
  <si>
    <t>358/2005</t>
  </si>
  <si>
    <t>Сок плодовый</t>
  </si>
  <si>
    <t>Косервы рыбные (сайра)</t>
  </si>
  <si>
    <t>огурец консервированный</t>
  </si>
  <si>
    <t>Вареники из полуфабриката промышленного производства (с фаршем картофельным)</t>
  </si>
  <si>
    <t>вареники п/ф промышленного производства мороженные с фаршем картофельным</t>
  </si>
  <si>
    <t>масло сливочное "Крестьянское"</t>
  </si>
  <si>
    <t>20</t>
  </si>
  <si>
    <t>Суп картофельный с бобовыми (фасоль)</t>
  </si>
  <si>
    <t>2йзавтрак</t>
  </si>
  <si>
    <t>2й завтрак</t>
  </si>
  <si>
    <t>2завтрак</t>
  </si>
  <si>
    <t>80/5</t>
  </si>
  <si>
    <t>минтай</t>
  </si>
  <si>
    <t>пертушка(зелень)</t>
  </si>
  <si>
    <t>яйцо куриное столовое, гр</t>
  </si>
  <si>
    <t>Оладьи с повидлом или джемом</t>
  </si>
  <si>
    <t>№400/2014</t>
  </si>
  <si>
    <t>Хлопья или зерна кукурузные или пшеничные и другие с молоком</t>
  </si>
  <si>
    <t>382/2009</t>
  </si>
  <si>
    <t>Хлопья кукурузные или пшеничные или воздушные зерна кукурузы, пшеницы, риса</t>
  </si>
  <si>
    <t>Сок фруктовый в ассортименте</t>
  </si>
  <si>
    <t>Пирожок с картошкой</t>
  </si>
  <si>
    <t>Мука пшеничная в\с</t>
  </si>
  <si>
    <t>Дрожжи(прессованные)\ сухие</t>
  </si>
  <si>
    <t>1\0,25</t>
  </si>
  <si>
    <t>Фарш картофельный с луком</t>
  </si>
  <si>
    <t>Растительное масло для смазки листов</t>
  </si>
  <si>
    <t xml:space="preserve">Чай с молоком </t>
  </si>
  <si>
    <t>Вода (Молоко)</t>
  </si>
  <si>
    <t>3/1,2</t>
  </si>
  <si>
    <t>Яйца (для смазки пирожков)</t>
  </si>
  <si>
    <t xml:space="preserve">Масло сливочное </t>
  </si>
  <si>
    <t>Тефтели</t>
  </si>
  <si>
    <t>Говядина (котлетное мясо)</t>
  </si>
  <si>
    <t>60/50</t>
  </si>
  <si>
    <t>соль</t>
  </si>
  <si>
    <t>№619</t>
  </si>
  <si>
    <t>Сдоба "Ассорти" с изюмом</t>
  </si>
  <si>
    <t>Каша пшенная рассыпчатая</t>
  </si>
  <si>
    <t>крендель сахарный</t>
  </si>
  <si>
    <t>Крупа пшеничная</t>
  </si>
  <si>
    <t>сливочное масло</t>
  </si>
  <si>
    <t xml:space="preserve">яйца для смазки </t>
  </si>
  <si>
    <t>дрожжи</t>
  </si>
  <si>
    <t>сахар песок</t>
  </si>
  <si>
    <t>пряники</t>
  </si>
  <si>
    <t>втоорой завтрак</t>
  </si>
  <si>
    <t>сок фруктовый</t>
  </si>
  <si>
    <t>Каша вязкая молочная из кукурузной крупы</t>
  </si>
  <si>
    <t>Каша кукурузная</t>
  </si>
  <si>
    <t>№174</t>
  </si>
  <si>
    <t>Пирог открытый</t>
  </si>
  <si>
    <t>Компот из свежих плодов</t>
  </si>
  <si>
    <t>яблоко</t>
  </si>
  <si>
    <t>Тефтели мясные</t>
  </si>
  <si>
    <t>Картофель тушеный в соусе</t>
  </si>
  <si>
    <t>№459</t>
  </si>
  <si>
    <t xml:space="preserve">Дрожжи сухие </t>
  </si>
  <si>
    <t>Вода для замеса теста</t>
  </si>
  <si>
    <t>Масло растительное для смазки листов</t>
  </si>
  <si>
    <t>Яйца для смазки пирога</t>
  </si>
  <si>
    <t>Яблоки</t>
  </si>
  <si>
    <t>Сахар -песок</t>
  </si>
  <si>
    <t>Кислота лимонная</t>
  </si>
  <si>
    <t>№342</t>
  </si>
  <si>
    <t>Запеканка из творога</t>
  </si>
  <si>
    <t>№354</t>
  </si>
  <si>
    <t xml:space="preserve">Соус сметанный </t>
  </si>
  <si>
    <t>№133</t>
  </si>
  <si>
    <t>Макароны запеченые с яйцом</t>
  </si>
  <si>
    <t>№208</t>
  </si>
  <si>
    <t xml:space="preserve">Масса отварных макарон </t>
  </si>
  <si>
    <t>3/5шт</t>
  </si>
  <si>
    <t>№223</t>
  </si>
  <si>
    <t>№286</t>
  </si>
  <si>
    <t>второй завтрак</t>
  </si>
  <si>
    <t>Масло растительное(Для смазки прот.)</t>
  </si>
  <si>
    <t>Итого за ужин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</si>
</sst>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0.000"/>
    <numFmt numFmtId="166" formatCode="0.0"/>
  </numFmts>
  <fonts count="3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i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i/>
      <u/>
      <sz val="1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1"/>
      <color rgb="FF000000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b/>
      <sz val="11"/>
      <name val="Arial Cyr"/>
      <charset val="204"/>
    </font>
    <font>
      <sz val="11"/>
      <name val="Arial Cyr"/>
      <charset val="204"/>
    </font>
    <font>
      <sz val="9.5"/>
      <color rgb="FF333333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</borders>
  <cellStyleXfs count="2">
    <xf numFmtId="0" fontId="0" fillId="0" borderId="0"/>
    <xf numFmtId="164" fontId="23" fillId="0" borderId="0" applyFont="0" applyFill="0" applyBorder="0" applyAlignment="0" applyProtection="0"/>
  </cellStyleXfs>
  <cellXfs count="82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NumberFormat="1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right" vertical="center" wrapText="1"/>
    </xf>
    <xf numFmtId="2" fontId="6" fillId="5" borderId="1" xfId="0" applyNumberFormat="1" applyFont="1" applyFill="1" applyBorder="1" applyAlignment="1">
      <alignment horizontal="right" vertical="center" wrapText="1"/>
    </xf>
    <xf numFmtId="0" fontId="13" fillId="3" borderId="5" xfId="0" applyFont="1" applyFill="1" applyBorder="1" applyAlignment="1">
      <alignment horizontal="right" vertical="top" wrapText="1"/>
    </xf>
    <xf numFmtId="0" fontId="13" fillId="3" borderId="2" xfId="0" applyFont="1" applyFill="1" applyBorder="1" applyAlignment="1">
      <alignment horizontal="right" vertical="top" wrapText="1"/>
    </xf>
    <xf numFmtId="2" fontId="13" fillId="4" borderId="2" xfId="0" applyNumberFormat="1" applyFont="1" applyFill="1" applyBorder="1" applyAlignment="1">
      <alignment horizontal="right" vertical="top" wrapText="1"/>
    </xf>
    <xf numFmtId="0" fontId="13" fillId="3" borderId="1" xfId="0" applyFont="1" applyFill="1" applyBorder="1" applyAlignment="1">
      <alignment horizontal="right" vertical="top" wrapText="1"/>
    </xf>
    <xf numFmtId="0" fontId="5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vertical="top" wrapText="1"/>
    </xf>
    <xf numFmtId="0" fontId="8" fillId="6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center" vertical="top" wrapText="1"/>
    </xf>
    <xf numFmtId="0" fontId="2" fillId="6" borderId="2" xfId="0" applyFont="1" applyFill="1" applyBorder="1" applyAlignment="1">
      <alignment horizontal="center" vertical="top" wrapText="1"/>
    </xf>
    <xf numFmtId="0" fontId="11" fillId="2" borderId="2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right" vertical="top" wrapText="1"/>
    </xf>
    <xf numFmtId="2" fontId="2" fillId="6" borderId="12" xfId="0" applyNumberFormat="1" applyFont="1" applyFill="1" applyBorder="1" applyAlignment="1">
      <alignment horizontal="right" vertical="top" wrapText="1"/>
    </xf>
    <xf numFmtId="0" fontId="9" fillId="0" borderId="2" xfId="0" applyFont="1" applyFill="1" applyBorder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0" fontId="8" fillId="0" borderId="12" xfId="0" applyFont="1" applyFill="1" applyBorder="1" applyAlignment="1">
      <alignment horizontal="center" vertical="top" wrapText="1"/>
    </xf>
    <xf numFmtId="0" fontId="8" fillId="0" borderId="8" xfId="0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3" fillId="0" borderId="3" xfId="0" applyFont="1" applyBorder="1" applyAlignment="1">
      <alignment horizontal="center" vertical="top" wrapText="1"/>
    </xf>
    <xf numFmtId="0" fontId="8" fillId="0" borderId="0" xfId="0" applyFont="1"/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right"/>
    </xf>
    <xf numFmtId="2" fontId="8" fillId="3" borderId="1" xfId="0" applyNumberFormat="1" applyFont="1" applyFill="1" applyBorder="1"/>
    <xf numFmtId="0" fontId="8" fillId="3" borderId="1" xfId="0" applyFont="1" applyFill="1" applyBorder="1"/>
    <xf numFmtId="2" fontId="8" fillId="0" borderId="1" xfId="0" applyNumberFormat="1" applyFont="1" applyBorder="1"/>
    <xf numFmtId="0" fontId="2" fillId="3" borderId="1" xfId="0" applyFont="1" applyFill="1" applyBorder="1"/>
    <xf numFmtId="0" fontId="8" fillId="0" borderId="1" xfId="0" applyFont="1" applyBorder="1" applyAlignment="1"/>
    <xf numFmtId="2" fontId="2" fillId="4" borderId="1" xfId="0" applyNumberFormat="1" applyFont="1" applyFill="1" applyBorder="1"/>
    <xf numFmtId="2" fontId="2" fillId="3" borderId="1" xfId="0" applyNumberFormat="1" applyFont="1" applyFill="1" applyBorder="1"/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right" vertical="center"/>
    </xf>
    <xf numFmtId="2" fontId="9" fillId="5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vertical="top"/>
    </xf>
    <xf numFmtId="0" fontId="8" fillId="0" borderId="1" xfId="0" applyFont="1" applyBorder="1" applyAlignment="1">
      <alignment horizontal="right" vertical="top"/>
    </xf>
    <xf numFmtId="2" fontId="8" fillId="0" borderId="1" xfId="0" applyNumberFormat="1" applyFont="1" applyBorder="1" applyAlignment="1">
      <alignment vertical="top"/>
    </xf>
    <xf numFmtId="0" fontId="8" fillId="0" borderId="5" xfId="0" applyFont="1" applyBorder="1" applyAlignment="1">
      <alignment horizontal="right"/>
    </xf>
    <xf numFmtId="2" fontId="9" fillId="5" borderId="1" xfId="0" applyNumberFormat="1" applyFont="1" applyFill="1" applyBorder="1" applyAlignment="1">
      <alignment vertical="center"/>
    </xf>
    <xf numFmtId="0" fontId="8" fillId="3" borderId="1" xfId="0" applyNumberFormat="1" applyFont="1" applyFill="1" applyBorder="1"/>
    <xf numFmtId="0" fontId="8" fillId="0" borderId="1" xfId="0" applyNumberFormat="1" applyFont="1" applyBorder="1"/>
    <xf numFmtId="0" fontId="8" fillId="2" borderId="1" xfId="0" applyFont="1" applyFill="1" applyBorder="1"/>
    <xf numFmtId="0" fontId="8" fillId="2" borderId="1" xfId="0" applyFont="1" applyFill="1" applyBorder="1" applyAlignment="1">
      <alignment horizontal="right"/>
    </xf>
    <xf numFmtId="2" fontId="8" fillId="2" borderId="1" xfId="0" applyNumberFormat="1" applyFont="1" applyFill="1" applyBorder="1"/>
    <xf numFmtId="0" fontId="8" fillId="0" borderId="6" xfId="0" applyFont="1" applyBorder="1"/>
    <xf numFmtId="0" fontId="8" fillId="0" borderId="6" xfId="0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8" fillId="0" borderId="1" xfId="0" applyFont="1" applyFill="1" applyBorder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165" fontId="8" fillId="0" borderId="1" xfId="0" applyNumberFormat="1" applyFont="1" applyBorder="1"/>
    <xf numFmtId="2" fontId="8" fillId="0" borderId="1" xfId="0" applyNumberFormat="1" applyFont="1" applyBorder="1" applyAlignment="1">
      <alignment horizontal="right"/>
    </xf>
    <xf numFmtId="0" fontId="2" fillId="0" borderId="13" xfId="0" applyFont="1" applyBorder="1"/>
    <xf numFmtId="0" fontId="8" fillId="0" borderId="0" xfId="0" applyFont="1" applyAlignment="1">
      <alignment horizontal="right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right" vertical="top" wrapText="1"/>
    </xf>
    <xf numFmtId="0" fontId="15" fillId="0" borderId="1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right" vertical="top" wrapText="1"/>
    </xf>
    <xf numFmtId="0" fontId="15" fillId="0" borderId="5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vertical="top" wrapText="1"/>
    </xf>
    <xf numFmtId="2" fontId="8" fillId="2" borderId="1" xfId="0" applyNumberFormat="1" applyFont="1" applyFill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right" vertical="top" wrapText="1"/>
    </xf>
    <xf numFmtId="0" fontId="14" fillId="0" borderId="2" xfId="0" applyFont="1" applyBorder="1" applyAlignment="1">
      <alignment horizontal="right" vertical="top" wrapText="1"/>
    </xf>
    <xf numFmtId="0" fontId="8" fillId="2" borderId="1" xfId="0" applyFont="1" applyFill="1" applyBorder="1" applyAlignment="1">
      <alignment vertical="top" wrapText="1"/>
    </xf>
    <xf numFmtId="0" fontId="14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right" vertical="top" wrapText="1"/>
    </xf>
    <xf numFmtId="2" fontId="8" fillId="2" borderId="1" xfId="0" applyNumberFormat="1" applyFont="1" applyFill="1" applyBorder="1" applyAlignment="1">
      <alignment horizontal="right" vertical="top" wrapText="1"/>
    </xf>
    <xf numFmtId="0" fontId="14" fillId="0" borderId="1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2" fontId="11" fillId="2" borderId="1" xfId="0" applyNumberFormat="1" applyFont="1" applyFill="1" applyBorder="1" applyAlignment="1">
      <alignment horizontal="center" vertical="top" wrapText="1"/>
    </xf>
    <xf numFmtId="0" fontId="11" fillId="0" borderId="1" xfId="0" applyFont="1" applyBorder="1" applyAlignment="1">
      <alignment vertical="top"/>
    </xf>
    <xf numFmtId="0" fontId="11" fillId="0" borderId="1" xfId="0" applyFont="1" applyBorder="1" applyAlignment="1">
      <alignment horizontal="right"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8" fillId="2" borderId="1" xfId="0" applyNumberFormat="1" applyFont="1" applyFill="1" applyBorder="1" applyAlignment="1">
      <alignment vertical="top" wrapText="1"/>
    </xf>
    <xf numFmtId="0" fontId="14" fillId="2" borderId="1" xfId="0" applyNumberFormat="1" applyFont="1" applyFill="1" applyBorder="1" applyAlignment="1">
      <alignment vertical="top" wrapText="1"/>
    </xf>
    <xf numFmtId="165" fontId="2" fillId="3" borderId="1" xfId="0" applyNumberFormat="1" applyFont="1" applyFill="1" applyBorder="1" applyAlignment="1">
      <alignment horizontal="center" vertical="top" wrapText="1"/>
    </xf>
    <xf numFmtId="2" fontId="11" fillId="2" borderId="1" xfId="0" applyNumberFormat="1" applyFont="1" applyFill="1" applyBorder="1" applyAlignment="1">
      <alignment vertical="top" wrapText="1"/>
    </xf>
    <xf numFmtId="2" fontId="16" fillId="2" borderId="1" xfId="0" applyNumberFormat="1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top" wrapText="1"/>
    </xf>
    <xf numFmtId="2" fontId="12" fillId="2" borderId="1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2" fontId="8" fillId="2" borderId="1" xfId="0" applyNumberFormat="1" applyFont="1" applyFill="1" applyBorder="1" applyAlignment="1">
      <alignment wrapText="1"/>
    </xf>
    <xf numFmtId="0" fontId="8" fillId="2" borderId="1" xfId="0" applyFont="1" applyFill="1" applyBorder="1" applyAlignment="1">
      <alignment horizontal="right" wrapText="1"/>
    </xf>
    <xf numFmtId="2" fontId="14" fillId="2" borderId="1" xfId="0" applyNumberFormat="1" applyFont="1" applyFill="1" applyBorder="1" applyAlignment="1">
      <alignment vertical="top" wrapText="1"/>
    </xf>
    <xf numFmtId="16" fontId="8" fillId="0" borderId="1" xfId="0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0" fontId="2" fillId="3" borderId="2" xfId="0" applyFont="1" applyFill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8" fillId="0" borderId="3" xfId="0" applyFont="1" applyBorder="1" applyAlignment="1">
      <alignment horizontal="center" vertical="top" wrapText="1"/>
    </xf>
    <xf numFmtId="0" fontId="13" fillId="4" borderId="1" xfId="0" applyFont="1" applyFill="1" applyBorder="1" applyAlignment="1">
      <alignment horizontal="center" vertical="top" wrapText="1"/>
    </xf>
    <xf numFmtId="0" fontId="13" fillId="4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right" vertical="top" wrapText="1"/>
    </xf>
    <xf numFmtId="0" fontId="11" fillId="0" borderId="1" xfId="0" applyFont="1" applyBorder="1" applyAlignment="1">
      <alignment horizontal="left" vertical="top"/>
    </xf>
    <xf numFmtId="0" fontId="9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right" vertical="top" wrapText="1"/>
    </xf>
    <xf numFmtId="0" fontId="13" fillId="3" borderId="5" xfId="0" applyFont="1" applyFill="1" applyBorder="1" applyAlignment="1">
      <alignment horizontal="center" vertical="top" wrapText="1"/>
    </xf>
    <xf numFmtId="0" fontId="13" fillId="3" borderId="6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left" vertical="top" wrapText="1"/>
    </xf>
    <xf numFmtId="0" fontId="13" fillId="4" borderId="5" xfId="0" applyFont="1" applyFill="1" applyBorder="1" applyAlignment="1">
      <alignment horizontal="center" vertical="top" wrapText="1"/>
    </xf>
    <xf numFmtId="0" fontId="14" fillId="0" borderId="1" xfId="0" applyNumberFormat="1" applyFont="1" applyBorder="1" applyAlignment="1">
      <alignment vertical="top" wrapText="1"/>
    </xf>
    <xf numFmtId="0" fontId="11" fillId="2" borderId="1" xfId="0" applyNumberFormat="1" applyFont="1" applyFill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8" fillId="0" borderId="1" xfId="0" applyNumberFormat="1" applyFont="1" applyBorder="1" applyAlignment="1">
      <alignment vertical="top" wrapText="1"/>
    </xf>
    <xf numFmtId="0" fontId="11" fillId="2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vertical="top" wrapText="1"/>
    </xf>
    <xf numFmtId="0" fontId="16" fillId="2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 vertical="top" wrapText="1"/>
    </xf>
    <xf numFmtId="12" fontId="8" fillId="0" borderId="1" xfId="0" applyNumberFormat="1" applyFont="1" applyBorder="1" applyAlignment="1">
      <alignment horizontal="center" vertical="top" wrapText="1"/>
    </xf>
    <xf numFmtId="0" fontId="12" fillId="2" borderId="1" xfId="0" applyNumberFormat="1" applyFont="1" applyFill="1" applyBorder="1" applyAlignment="1">
      <alignment horizontal="center" vertical="top" wrapText="1"/>
    </xf>
    <xf numFmtId="0" fontId="2" fillId="0" borderId="9" xfId="0" applyFont="1" applyBorder="1" applyAlignment="1">
      <alignment vertical="top" wrapText="1"/>
    </xf>
    <xf numFmtId="0" fontId="13" fillId="4" borderId="3" xfId="0" applyFont="1" applyFill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right" vertical="top" wrapText="1"/>
    </xf>
    <xf numFmtId="0" fontId="2" fillId="0" borderId="8" xfId="0" applyFont="1" applyBorder="1" applyAlignment="1">
      <alignment horizontal="left" vertical="top" wrapText="1"/>
    </xf>
    <xf numFmtId="0" fontId="8" fillId="0" borderId="9" xfId="0" applyFont="1" applyBorder="1" applyAlignment="1">
      <alignment vertical="top" wrapText="1"/>
    </xf>
    <xf numFmtId="0" fontId="8" fillId="2" borderId="1" xfId="0" applyNumberFormat="1" applyFont="1" applyFill="1" applyBorder="1" applyAlignment="1">
      <alignment horizontal="center" vertical="top" wrapText="1"/>
    </xf>
    <xf numFmtId="0" fontId="14" fillId="2" borderId="1" xfId="0" applyNumberFormat="1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vertical="top" wrapText="1"/>
    </xf>
    <xf numFmtId="0" fontId="8" fillId="0" borderId="8" xfId="0" applyFont="1" applyBorder="1" applyAlignment="1">
      <alignment vertical="top" wrapText="1"/>
    </xf>
    <xf numFmtId="0" fontId="14" fillId="0" borderId="1" xfId="0" applyNumberFormat="1" applyFont="1" applyFill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0" fontId="8" fillId="0" borderId="5" xfId="0" applyFont="1" applyFill="1" applyBorder="1" applyAlignment="1">
      <alignment vertical="top" wrapText="1"/>
    </xf>
    <xf numFmtId="0" fontId="11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17" fillId="0" borderId="2" xfId="0" applyFont="1" applyBorder="1" applyAlignment="1">
      <alignment vertical="top" wrapText="1"/>
    </xf>
    <xf numFmtId="0" fontId="18" fillId="2" borderId="1" xfId="0" applyNumberFormat="1" applyFont="1" applyFill="1" applyBorder="1" applyAlignment="1">
      <alignment vertical="top" wrapText="1"/>
    </xf>
    <xf numFmtId="0" fontId="12" fillId="0" borderId="1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vertical="top" wrapText="1"/>
    </xf>
    <xf numFmtId="0" fontId="12" fillId="2" borderId="1" xfId="0" applyFont="1" applyFill="1" applyBorder="1" applyAlignment="1">
      <alignment horizontal="right" vertical="top" wrapText="1"/>
    </xf>
    <xf numFmtId="0" fontId="8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2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top" wrapText="1"/>
    </xf>
    <xf numFmtId="0" fontId="19" fillId="2" borderId="1" xfId="0" applyNumberFormat="1" applyFont="1" applyFill="1" applyBorder="1" applyAlignment="1">
      <alignment vertical="top" wrapText="1"/>
    </xf>
    <xf numFmtId="0" fontId="8" fillId="0" borderId="12" xfId="0" applyFont="1" applyFill="1" applyBorder="1" applyAlignment="1">
      <alignment vertical="top" wrapText="1"/>
    </xf>
    <xf numFmtId="0" fontId="2" fillId="3" borderId="8" xfId="0" applyFont="1" applyFill="1" applyBorder="1" applyAlignment="1">
      <alignment horizontal="center" vertical="top" wrapText="1"/>
    </xf>
    <xf numFmtId="0" fontId="2" fillId="3" borderId="12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right" vertical="top" wrapText="1"/>
    </xf>
    <xf numFmtId="0" fontId="8" fillId="0" borderId="1" xfId="0" applyNumberFormat="1" applyFont="1" applyBorder="1" applyAlignment="1">
      <alignment horizontal="center" vertical="top" wrapText="1"/>
    </xf>
    <xf numFmtId="0" fontId="2" fillId="0" borderId="5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13" fillId="4" borderId="4" xfId="0" applyFont="1" applyFill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4" fillId="0" borderId="2" xfId="0" applyFont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11" fillId="0" borderId="5" xfId="0" applyFont="1" applyFill="1" applyBorder="1" applyAlignment="1">
      <alignment vertical="top" wrapText="1"/>
    </xf>
    <xf numFmtId="0" fontId="2" fillId="0" borderId="5" xfId="0" applyFont="1" applyFill="1" applyBorder="1" applyAlignment="1">
      <alignment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11" fillId="0" borderId="3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center" vertical="top" wrapText="1"/>
    </xf>
    <xf numFmtId="0" fontId="14" fillId="0" borderId="8" xfId="0" applyFont="1" applyFill="1" applyBorder="1" applyAlignment="1">
      <alignment horizontal="right" vertical="top" wrapText="1"/>
    </xf>
    <xf numFmtId="0" fontId="14" fillId="0" borderId="1" xfId="0" applyFont="1" applyFill="1" applyBorder="1" applyAlignment="1">
      <alignment horizontal="right" vertical="top" wrapText="1"/>
    </xf>
    <xf numFmtId="0" fontId="14" fillId="0" borderId="2" xfId="0" applyFont="1" applyFill="1" applyBorder="1" applyAlignment="1">
      <alignment horizontal="right" vertical="top" wrapText="1"/>
    </xf>
    <xf numFmtId="0" fontId="15" fillId="0" borderId="2" xfId="0" applyFont="1" applyBorder="1" applyAlignment="1">
      <alignment vertical="top" wrapText="1"/>
    </xf>
    <xf numFmtId="0" fontId="8" fillId="0" borderId="6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right" vertical="top" wrapText="1"/>
    </xf>
    <xf numFmtId="0" fontId="15" fillId="0" borderId="6" xfId="0" applyFont="1" applyBorder="1" applyAlignment="1">
      <alignment vertical="top" wrapText="1"/>
    </xf>
    <xf numFmtId="0" fontId="8" fillId="2" borderId="8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6" xfId="0" applyNumberFormat="1" applyFont="1" applyFill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165" fontId="2" fillId="4" borderId="1" xfId="0" applyNumberFormat="1" applyFont="1" applyFill="1" applyBorder="1" applyAlignment="1">
      <alignment horizontal="center" vertical="top" wrapText="1"/>
    </xf>
    <xf numFmtId="2" fontId="2" fillId="4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right" vertical="top"/>
    </xf>
    <xf numFmtId="0" fontId="2" fillId="0" borderId="2" xfId="0" applyFont="1" applyFill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8" fillId="2" borderId="3" xfId="0" applyFont="1" applyFill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2" fillId="2" borderId="3" xfId="0" applyFont="1" applyFill="1" applyBorder="1" applyAlignment="1">
      <alignment horizontal="right" vertical="top" wrapText="1"/>
    </xf>
    <xf numFmtId="0" fontId="8" fillId="0" borderId="2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top" wrapText="1"/>
    </xf>
    <xf numFmtId="0" fontId="12" fillId="2" borderId="1" xfId="0" applyFont="1" applyFill="1" applyBorder="1" applyAlignment="1">
      <alignment vertical="top" wrapText="1"/>
    </xf>
    <xf numFmtId="0" fontId="16" fillId="2" borderId="2" xfId="0" applyFont="1" applyFill="1" applyBorder="1" applyAlignment="1">
      <alignment horizontal="center" vertical="top" wrapText="1"/>
    </xf>
    <xf numFmtId="0" fontId="13" fillId="2" borderId="2" xfId="0" applyFont="1" applyFill="1" applyBorder="1" applyAlignment="1">
      <alignment horizontal="right" vertical="top" wrapText="1"/>
    </xf>
    <xf numFmtId="0" fontId="12" fillId="2" borderId="1" xfId="0" applyNumberFormat="1" applyFont="1" applyFill="1" applyBorder="1" applyAlignment="1">
      <alignment vertical="top" wrapText="1"/>
    </xf>
    <xf numFmtId="0" fontId="13" fillId="2" borderId="1" xfId="0" applyFont="1" applyFill="1" applyBorder="1" applyAlignment="1">
      <alignment horizontal="right" vertical="top" wrapText="1"/>
    </xf>
    <xf numFmtId="0" fontId="8" fillId="0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right" vertical="top" wrapText="1"/>
    </xf>
    <xf numFmtId="2" fontId="2" fillId="4" borderId="2" xfId="0" applyNumberFormat="1" applyFont="1" applyFill="1" applyBorder="1" applyAlignment="1">
      <alignment horizontal="right" vertical="top" wrapText="1"/>
    </xf>
    <xf numFmtId="0" fontId="20" fillId="0" borderId="1" xfId="0" applyFont="1" applyFill="1" applyBorder="1" applyAlignment="1">
      <alignment horizontal="center" vertical="top" wrapText="1"/>
    </xf>
    <xf numFmtId="0" fontId="20" fillId="0" borderId="2" xfId="0" applyFont="1" applyFill="1" applyBorder="1" applyAlignment="1">
      <alignment horizontal="center" vertical="top" wrapText="1"/>
    </xf>
    <xf numFmtId="0" fontId="21" fillId="2" borderId="1" xfId="0" applyNumberFormat="1" applyFont="1" applyFill="1" applyBorder="1" applyAlignment="1">
      <alignment horizontal="center" vertical="top" wrapText="1"/>
    </xf>
    <xf numFmtId="0" fontId="16" fillId="2" borderId="5" xfId="0" applyFont="1" applyFill="1" applyBorder="1" applyAlignment="1">
      <alignment horizontal="center" vertical="top" wrapText="1"/>
    </xf>
    <xf numFmtId="0" fontId="13" fillId="2" borderId="5" xfId="0" applyFont="1" applyFill="1" applyBorder="1" applyAlignment="1">
      <alignment horizontal="right" vertical="top" wrapText="1"/>
    </xf>
    <xf numFmtId="2" fontId="13" fillId="4" borderId="5" xfId="0" applyNumberFormat="1" applyFont="1" applyFill="1" applyBorder="1" applyAlignment="1">
      <alignment horizontal="right" vertical="top" wrapText="1"/>
    </xf>
    <xf numFmtId="0" fontId="8" fillId="0" borderId="6" xfId="0" applyFont="1" applyFill="1" applyBorder="1" applyAlignment="1">
      <alignment vertical="top" wrapText="1"/>
    </xf>
    <xf numFmtId="0" fontId="12" fillId="0" borderId="2" xfId="0" applyFont="1" applyFill="1" applyBorder="1" applyAlignment="1">
      <alignment horizontal="center" vertical="top" wrapText="1"/>
    </xf>
    <xf numFmtId="0" fontId="19" fillId="2" borderId="1" xfId="0" applyNumberFormat="1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horizontal="center" vertical="top" wrapText="1"/>
    </xf>
    <xf numFmtId="2" fontId="13" fillId="4" borderId="1" xfId="0" applyNumberFormat="1" applyFont="1" applyFill="1" applyBorder="1" applyAlignment="1">
      <alignment horizontal="right" vertical="top" wrapText="1"/>
    </xf>
    <xf numFmtId="0" fontId="11" fillId="0" borderId="1" xfId="0" applyNumberFormat="1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1" fillId="0" borderId="5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 wrapText="1"/>
    </xf>
    <xf numFmtId="0" fontId="11" fillId="2" borderId="6" xfId="0" applyFont="1" applyFill="1" applyBorder="1" applyAlignment="1">
      <alignment vertical="top" wrapText="1"/>
    </xf>
    <xf numFmtId="0" fontId="2" fillId="3" borderId="6" xfId="0" applyFont="1" applyFill="1" applyBorder="1" applyAlignment="1">
      <alignment vertical="top" wrapText="1"/>
    </xf>
    <xf numFmtId="0" fontId="2" fillId="2" borderId="6" xfId="0" applyFont="1" applyFill="1" applyBorder="1" applyAlignment="1">
      <alignment horizontal="right" vertical="top" wrapText="1"/>
    </xf>
    <xf numFmtId="2" fontId="2" fillId="4" borderId="6" xfId="0" applyNumberFormat="1" applyFont="1" applyFill="1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0" fontId="14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165" fontId="13" fillId="4" borderId="1" xfId="0" applyNumberFormat="1" applyFont="1" applyFill="1" applyBorder="1" applyAlignment="1">
      <alignment horizontal="center" vertical="top" wrapText="1"/>
    </xf>
    <xf numFmtId="165" fontId="13" fillId="4" borderId="2" xfId="0" applyNumberFormat="1" applyFont="1" applyFill="1" applyBorder="1" applyAlignment="1">
      <alignment horizontal="center" vertical="top" wrapText="1"/>
    </xf>
    <xf numFmtId="2" fontId="2" fillId="3" borderId="1" xfId="0" applyNumberFormat="1" applyFont="1" applyFill="1" applyBorder="1" applyAlignment="1">
      <alignment horizontal="center" vertical="top" wrapText="1"/>
    </xf>
    <xf numFmtId="2" fontId="2" fillId="3" borderId="2" xfId="0" applyNumberFormat="1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right" vertical="top" wrapText="1"/>
    </xf>
    <xf numFmtId="0" fontId="2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2" fontId="13" fillId="4" borderId="8" xfId="0" applyNumberFormat="1" applyFont="1" applyFill="1" applyBorder="1" applyAlignment="1">
      <alignment horizontal="center" vertical="top" wrapText="1"/>
    </xf>
    <xf numFmtId="2" fontId="13" fillId="4" borderId="1" xfId="0" applyNumberFormat="1" applyFont="1" applyFill="1" applyBorder="1" applyAlignment="1">
      <alignment horizontal="center" vertical="top" wrapText="1"/>
    </xf>
    <xf numFmtId="166" fontId="2" fillId="3" borderId="1" xfId="0" applyNumberFormat="1" applyFont="1" applyFill="1" applyBorder="1" applyAlignment="1">
      <alignment horizontal="center" vertical="top" wrapText="1"/>
    </xf>
    <xf numFmtId="165" fontId="6" fillId="5" borderId="1" xfId="0" applyNumberFormat="1" applyFont="1" applyFill="1" applyBorder="1" applyAlignment="1">
      <alignment horizontal="center" vertical="center" wrapText="1"/>
    </xf>
    <xf numFmtId="166" fontId="2" fillId="4" borderId="1" xfId="0" applyNumberFormat="1" applyFont="1" applyFill="1" applyBorder="1" applyAlignment="1">
      <alignment horizontal="center" vertical="top" wrapText="1"/>
    </xf>
    <xf numFmtId="166" fontId="2" fillId="4" borderId="2" xfId="0" applyNumberFormat="1" applyFont="1" applyFill="1" applyBorder="1" applyAlignment="1">
      <alignment horizontal="center" vertical="top" wrapText="1"/>
    </xf>
    <xf numFmtId="2" fontId="2" fillId="3" borderId="1" xfId="0" applyNumberFormat="1" applyFont="1" applyFill="1" applyBorder="1" applyAlignment="1">
      <alignment vertical="top" wrapText="1"/>
    </xf>
    <xf numFmtId="166" fontId="2" fillId="3" borderId="2" xfId="0" applyNumberFormat="1" applyFont="1" applyFill="1" applyBorder="1" applyAlignment="1">
      <alignment horizontal="center" vertical="top" wrapText="1"/>
    </xf>
    <xf numFmtId="0" fontId="2" fillId="0" borderId="1" xfId="0" applyFont="1" applyBorder="1"/>
    <xf numFmtId="2" fontId="2" fillId="3" borderId="1" xfId="0" applyNumberFormat="1" applyFont="1" applyFill="1" applyBorder="1" applyAlignment="1">
      <alignment horizontal="right"/>
    </xf>
    <xf numFmtId="166" fontId="13" fillId="4" borderId="1" xfId="0" applyNumberFormat="1" applyFont="1" applyFill="1" applyBorder="1" applyAlignment="1">
      <alignment horizontal="center" vertical="top" wrapText="1"/>
    </xf>
    <xf numFmtId="166" fontId="13" fillId="4" borderId="2" xfId="0" applyNumberFormat="1" applyFont="1" applyFill="1" applyBorder="1" applyAlignment="1">
      <alignment horizontal="center" vertical="top" wrapText="1"/>
    </xf>
    <xf numFmtId="0" fontId="8" fillId="0" borderId="8" xfId="0" applyFont="1" applyBorder="1" applyAlignment="1">
      <alignment horizontal="right" vertical="top" wrapText="1"/>
    </xf>
    <xf numFmtId="0" fontId="8" fillId="0" borderId="8" xfId="0" applyFont="1" applyFill="1" applyBorder="1" applyAlignment="1">
      <alignment horizontal="right" vertical="top" wrapText="1"/>
    </xf>
    <xf numFmtId="0" fontId="8" fillId="0" borderId="1" xfId="0" applyFont="1" applyFill="1" applyBorder="1" applyAlignment="1">
      <alignment horizontal="right" vertical="top" wrapText="1"/>
    </xf>
    <xf numFmtId="165" fontId="2" fillId="6" borderId="1" xfId="0" applyNumberFormat="1" applyFont="1" applyFill="1" applyBorder="1" applyAlignment="1">
      <alignment horizontal="center" vertical="top" wrapText="1"/>
    </xf>
    <xf numFmtId="165" fontId="2" fillId="6" borderId="2" xfId="0" applyNumberFormat="1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8" fillId="0" borderId="5" xfId="0" applyFont="1" applyBorder="1"/>
    <xf numFmtId="0" fontId="11" fillId="0" borderId="1" xfId="0" applyFont="1" applyBorder="1" applyAlignment="1">
      <alignment vertical="top" wrapText="1"/>
    </xf>
    <xf numFmtId="2" fontId="8" fillId="0" borderId="1" xfId="0" applyNumberFormat="1" applyFont="1" applyFill="1" applyBorder="1"/>
    <xf numFmtId="0" fontId="12" fillId="0" borderId="1" xfId="0" applyFont="1" applyFill="1" applyBorder="1" applyAlignment="1">
      <alignment horizontal="right" vertical="top" wrapText="1"/>
    </xf>
    <xf numFmtId="0" fontId="12" fillId="0" borderId="2" xfId="0" applyFont="1" applyFill="1" applyBorder="1" applyAlignment="1">
      <alignment horizontal="right" vertical="top" wrapText="1"/>
    </xf>
    <xf numFmtId="0" fontId="12" fillId="0" borderId="1" xfId="0" applyFont="1" applyBorder="1" applyAlignment="1">
      <alignment horizontal="right" vertical="top" wrapText="1"/>
    </xf>
    <xf numFmtId="0" fontId="12" fillId="0" borderId="2" xfId="0" applyFont="1" applyBorder="1" applyAlignment="1">
      <alignment horizontal="right" vertical="top" wrapText="1"/>
    </xf>
    <xf numFmtId="0" fontId="8" fillId="0" borderId="0" xfId="0" applyFont="1" applyBorder="1" applyAlignment="1">
      <alignment horizontal="center" vertical="top" wrapText="1"/>
    </xf>
    <xf numFmtId="2" fontId="2" fillId="3" borderId="5" xfId="0" applyNumberFormat="1" applyFont="1" applyFill="1" applyBorder="1" applyAlignment="1">
      <alignment horizontal="right"/>
    </xf>
    <xf numFmtId="0" fontId="8" fillId="0" borderId="5" xfId="0" applyFont="1" applyBorder="1"/>
    <xf numFmtId="0" fontId="13" fillId="3" borderId="8" xfId="0" applyFont="1" applyFill="1" applyBorder="1" applyAlignment="1">
      <alignment horizontal="center" vertical="top" wrapText="1"/>
    </xf>
    <xf numFmtId="0" fontId="13" fillId="3" borderId="12" xfId="0" applyFont="1" applyFill="1" applyBorder="1" applyAlignment="1">
      <alignment horizontal="center" vertical="top" wrapText="1"/>
    </xf>
    <xf numFmtId="0" fontId="13" fillId="2" borderId="8" xfId="0" applyFont="1" applyFill="1" applyBorder="1" applyAlignment="1">
      <alignment horizontal="center" vertical="top" wrapText="1"/>
    </xf>
    <xf numFmtId="0" fontId="13" fillId="2" borderId="12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right" vertical="top" wrapText="1"/>
    </xf>
    <xf numFmtId="166" fontId="13" fillId="4" borderId="5" xfId="0" applyNumberFormat="1" applyFont="1" applyFill="1" applyBorder="1" applyAlignment="1">
      <alignment horizontal="center" vertical="top" wrapText="1"/>
    </xf>
    <xf numFmtId="0" fontId="13" fillId="3" borderId="3" xfId="0" applyFont="1" applyFill="1" applyBorder="1" applyAlignment="1">
      <alignment horizontal="center" vertical="top" wrapText="1"/>
    </xf>
    <xf numFmtId="0" fontId="13" fillId="3" borderId="9" xfId="0" applyFont="1" applyFill="1" applyBorder="1" applyAlignment="1">
      <alignment horizontal="center" vertical="top" wrapText="1"/>
    </xf>
    <xf numFmtId="166" fontId="13" fillId="4" borderId="3" xfId="0" applyNumberFormat="1" applyFont="1" applyFill="1" applyBorder="1" applyAlignment="1">
      <alignment horizontal="center" vertical="top" wrapText="1"/>
    </xf>
    <xf numFmtId="2" fontId="13" fillId="4" borderId="3" xfId="0" applyNumberFormat="1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12" fillId="2" borderId="5" xfId="0" applyNumberFormat="1" applyFont="1" applyFill="1" applyBorder="1" applyAlignment="1">
      <alignment horizontal="center" vertical="top" wrapText="1"/>
    </xf>
    <xf numFmtId="2" fontId="13" fillId="4" borderId="5" xfId="0" applyNumberFormat="1" applyFont="1" applyFill="1" applyBorder="1" applyAlignment="1">
      <alignment horizontal="center" vertical="top" wrapText="1"/>
    </xf>
    <xf numFmtId="0" fontId="2" fillId="3" borderId="5" xfId="0" applyFont="1" applyFill="1" applyBorder="1"/>
    <xf numFmtId="0" fontId="8" fillId="2" borderId="5" xfId="0" applyFont="1" applyFill="1" applyBorder="1"/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2" fontId="6" fillId="5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166" fontId="9" fillId="5" borderId="1" xfId="0" applyNumberFormat="1" applyFont="1" applyFill="1" applyBorder="1" applyAlignment="1">
      <alignment horizontal="center" vertical="center" wrapText="1"/>
    </xf>
    <xf numFmtId="164" fontId="8" fillId="0" borderId="1" xfId="1" applyFont="1" applyBorder="1" applyAlignment="1">
      <alignment vertical="top" wrapText="1"/>
    </xf>
    <xf numFmtId="164" fontId="2" fillId="3" borderId="1" xfId="1" applyFont="1" applyFill="1" applyBorder="1" applyAlignment="1">
      <alignment vertical="top" wrapText="1"/>
    </xf>
    <xf numFmtId="2" fontId="2" fillId="2" borderId="1" xfId="0" applyNumberFormat="1" applyFont="1" applyFill="1" applyBorder="1"/>
    <xf numFmtId="166" fontId="6" fillId="5" borderId="1" xfId="0" applyNumberFormat="1" applyFont="1" applyFill="1" applyBorder="1" applyAlignment="1">
      <alignment horizontal="center" vertical="center" wrapText="1"/>
    </xf>
    <xf numFmtId="0" fontId="11" fillId="0" borderId="5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24" fillId="0" borderId="1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2" fontId="2" fillId="4" borderId="5" xfId="0" applyNumberFormat="1" applyFont="1" applyFill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164" fontId="2" fillId="3" borderId="1" xfId="1" applyFont="1" applyFill="1" applyBorder="1" applyAlignment="1">
      <alignment vertical="top"/>
    </xf>
    <xf numFmtId="2" fontId="2" fillId="3" borderId="5" xfId="0" applyNumberFormat="1" applyFont="1" applyFill="1" applyBorder="1"/>
    <xf numFmtId="0" fontId="8" fillId="2" borderId="3" xfId="0" applyFont="1" applyFill="1" applyBorder="1" applyAlignment="1">
      <alignment horizontal="right" wrapText="1"/>
    </xf>
    <xf numFmtId="0" fontId="11" fillId="0" borderId="1" xfId="0" applyFont="1" applyBorder="1" applyAlignment="1">
      <alignment vertical="top" wrapText="1"/>
    </xf>
    <xf numFmtId="0" fontId="13" fillId="0" borderId="14" xfId="0" applyFont="1" applyBorder="1" applyAlignment="1">
      <alignment wrapText="1"/>
    </xf>
    <xf numFmtId="0" fontId="13" fillId="0" borderId="15" xfId="0" applyFont="1" applyBorder="1" applyAlignment="1">
      <alignment horizontal="right"/>
    </xf>
    <xf numFmtId="0" fontId="12" fillId="0" borderId="15" xfId="0" applyFont="1" applyBorder="1"/>
    <xf numFmtId="0" fontId="13" fillId="0" borderId="15" xfId="0" applyFont="1" applyBorder="1"/>
    <xf numFmtId="0" fontId="12" fillId="0" borderId="14" xfId="0" applyFont="1" applyBorder="1" applyAlignment="1">
      <alignment wrapText="1"/>
    </xf>
    <xf numFmtId="0" fontId="12" fillId="0" borderId="15" xfId="0" applyFont="1" applyBorder="1" applyAlignment="1">
      <alignment horizontal="right" wrapText="1"/>
    </xf>
    <xf numFmtId="1" fontId="12" fillId="0" borderId="15" xfId="0" applyNumberFormat="1" applyFont="1" applyBorder="1"/>
    <xf numFmtId="0" fontId="12" fillId="0" borderId="16" xfId="0" applyFont="1" applyBorder="1"/>
    <xf numFmtId="0" fontId="12" fillId="0" borderId="17" xfId="0" applyFont="1" applyBorder="1"/>
    <xf numFmtId="166" fontId="12" fillId="0" borderId="15" xfId="0" applyNumberFormat="1" applyFont="1" applyBorder="1"/>
    <xf numFmtId="0" fontId="13" fillId="0" borderId="16" xfId="0" applyFont="1" applyBorder="1"/>
    <xf numFmtId="0" fontId="13" fillId="0" borderId="17" xfId="0" applyFont="1" applyBorder="1"/>
    <xf numFmtId="0" fontId="16" fillId="0" borderId="15" xfId="0" applyFont="1" applyBorder="1"/>
    <xf numFmtId="0" fontId="13" fillId="0" borderId="15" xfId="0" applyFont="1" applyFill="1" applyBorder="1" applyAlignment="1">
      <alignment wrapText="1"/>
    </xf>
    <xf numFmtId="0" fontId="12" fillId="0" borderId="15" xfId="0" applyFont="1" applyBorder="1" applyAlignment="1">
      <alignment horizontal="center"/>
    </xf>
    <xf numFmtId="0" fontId="12" fillId="0" borderId="15" xfId="0" applyFont="1" applyBorder="1" applyAlignment="1">
      <alignment wrapText="1"/>
    </xf>
    <xf numFmtId="0" fontId="12" fillId="0" borderId="15" xfId="0" applyFont="1" applyBorder="1" applyAlignment="1">
      <alignment horizontal="right"/>
    </xf>
    <xf numFmtId="2" fontId="12" fillId="0" borderId="15" xfId="0" applyNumberFormat="1" applyFont="1" applyBorder="1"/>
    <xf numFmtId="2" fontId="12" fillId="0" borderId="16" xfId="0" applyNumberFormat="1" applyFont="1" applyBorder="1"/>
    <xf numFmtId="0" fontId="12" fillId="0" borderId="15" xfId="0" applyFont="1" applyBorder="1" applyAlignment="1"/>
    <xf numFmtId="0" fontId="13" fillId="0" borderId="15" xfId="0" applyFont="1" applyBorder="1" applyAlignment="1">
      <alignment horizontal="center"/>
    </xf>
    <xf numFmtId="0" fontId="8" fillId="0" borderId="15" xfId="0" applyFont="1" applyBorder="1"/>
    <xf numFmtId="0" fontId="8" fillId="0" borderId="14" xfId="0" applyFont="1" applyBorder="1"/>
    <xf numFmtId="0" fontId="16" fillId="0" borderId="14" xfId="0" applyFont="1" applyBorder="1" applyAlignment="1">
      <alignment wrapText="1"/>
    </xf>
    <xf numFmtId="0" fontId="13" fillId="0" borderId="15" xfId="0" applyFont="1" applyBorder="1" applyAlignment="1">
      <alignment wrapText="1"/>
    </xf>
    <xf numFmtId="0" fontId="13" fillId="0" borderId="15" xfId="0" applyFont="1" applyBorder="1" applyAlignment="1">
      <alignment horizontal="right" wrapText="1"/>
    </xf>
    <xf numFmtId="0" fontId="12" fillId="0" borderId="1" xfId="0" applyFont="1" applyBorder="1" applyAlignment="1">
      <alignment horizontal="right" vertical="top"/>
    </xf>
    <xf numFmtId="0" fontId="12" fillId="0" borderId="1" xfId="0" applyFont="1" applyBorder="1" applyAlignment="1">
      <alignment horizontal="right"/>
    </xf>
    <xf numFmtId="0" fontId="12" fillId="0" borderId="1" xfId="0" applyFont="1" applyBorder="1"/>
    <xf numFmtId="2" fontId="12" fillId="0" borderId="1" xfId="0" applyNumberFormat="1" applyFont="1" applyBorder="1" applyAlignment="1">
      <alignment vertical="top"/>
    </xf>
    <xf numFmtId="2" fontId="12" fillId="0" borderId="1" xfId="0" applyNumberFormat="1" applyFont="1" applyBorder="1"/>
    <xf numFmtId="2" fontId="13" fillId="3" borderId="1" xfId="0" applyNumberFormat="1" applyFont="1" applyFill="1" applyBorder="1"/>
    <xf numFmtId="0" fontId="13" fillId="3" borderId="1" xfId="0" applyFont="1" applyFill="1" applyBorder="1"/>
    <xf numFmtId="2" fontId="13" fillId="4" borderId="1" xfId="0" applyNumberFormat="1" applyFont="1" applyFill="1" applyBorder="1"/>
    <xf numFmtId="0" fontId="19" fillId="0" borderId="15" xfId="0" applyFont="1" applyBorder="1" applyAlignment="1">
      <alignment horizontal="right" wrapText="1"/>
    </xf>
    <xf numFmtId="0" fontId="13" fillId="0" borderId="14" xfId="0" applyFont="1" applyBorder="1" applyAlignment="1">
      <alignment horizontal="left" wrapText="1"/>
    </xf>
    <xf numFmtId="0" fontId="12" fillId="0" borderId="14" xfId="0" applyFont="1" applyBorder="1" applyAlignment="1">
      <alignment horizontal="left"/>
    </xf>
    <xf numFmtId="0" fontId="16" fillId="0" borderId="1" xfId="0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12" fillId="0" borderId="1" xfId="0" applyNumberFormat="1" applyFont="1" applyBorder="1" applyAlignment="1">
      <alignment horizontal="center" vertical="top" wrapText="1"/>
    </xf>
    <xf numFmtId="17" fontId="12" fillId="0" borderId="1" xfId="0" applyNumberFormat="1" applyFont="1" applyBorder="1" applyAlignment="1">
      <alignment horizontal="center" vertical="top" wrapText="1"/>
    </xf>
    <xf numFmtId="0" fontId="13" fillId="0" borderId="19" xfId="0" applyFont="1" applyBorder="1"/>
    <xf numFmtId="0" fontId="13" fillId="0" borderId="20" xfId="0" applyFont="1" applyFill="1" applyBorder="1" applyAlignment="1">
      <alignment horizontal="left" wrapText="1"/>
    </xf>
    <xf numFmtId="0" fontId="12" fillId="0" borderId="20" xfId="0" applyFont="1" applyBorder="1" applyAlignment="1">
      <alignment vertical="top" wrapText="1"/>
    </xf>
    <xf numFmtId="0" fontId="12" fillId="0" borderId="20" xfId="0" applyFont="1" applyBorder="1" applyAlignment="1">
      <alignment wrapText="1"/>
    </xf>
    <xf numFmtId="0" fontId="25" fillId="0" borderId="20" xfId="0" applyFont="1" applyBorder="1" applyAlignment="1">
      <alignment vertical="top" wrapText="1"/>
    </xf>
    <xf numFmtId="0" fontId="13" fillId="0" borderId="21" xfId="0" applyFont="1" applyBorder="1" applyAlignment="1">
      <alignment wrapText="1"/>
    </xf>
    <xf numFmtId="0" fontId="13" fillId="0" borderId="20" xfId="0" applyFont="1" applyBorder="1" applyAlignment="1">
      <alignment wrapText="1"/>
    </xf>
    <xf numFmtId="0" fontId="12" fillId="0" borderId="22" xfId="0" applyFont="1" applyBorder="1"/>
    <xf numFmtId="0" fontId="13" fillId="0" borderId="16" xfId="0" applyFont="1" applyBorder="1" applyAlignment="1">
      <alignment horizontal="right" wrapText="1"/>
    </xf>
    <xf numFmtId="0" fontId="13" fillId="0" borderId="1" xfId="0" applyFont="1" applyBorder="1" applyAlignment="1"/>
    <xf numFmtId="0" fontId="13" fillId="0" borderId="14" xfId="0" applyFont="1" applyBorder="1"/>
    <xf numFmtId="0" fontId="13" fillId="0" borderId="23" xfId="0" applyFont="1" applyBorder="1" applyAlignment="1">
      <alignment horizontal="right"/>
    </xf>
    <xf numFmtId="0" fontId="12" fillId="0" borderId="23" xfId="0" applyFont="1" applyBorder="1"/>
    <xf numFmtId="0" fontId="12" fillId="0" borderId="18" xfId="0" applyFont="1" applyBorder="1"/>
    <xf numFmtId="0" fontId="12" fillId="0" borderId="24" xfId="0" applyFont="1" applyBorder="1"/>
    <xf numFmtId="164" fontId="2" fillId="3" borderId="1" xfId="1" applyFont="1" applyFill="1" applyBorder="1" applyAlignment="1"/>
    <xf numFmtId="166" fontId="12" fillId="0" borderId="16" xfId="0" applyNumberFormat="1" applyFont="1" applyBorder="1"/>
    <xf numFmtId="166" fontId="12" fillId="0" borderId="17" xfId="0" applyNumberFormat="1" applyFont="1" applyBorder="1"/>
    <xf numFmtId="0" fontId="11" fillId="0" borderId="1" xfId="0" applyFont="1" applyBorder="1" applyAlignment="1">
      <alignment vertical="top" wrapText="1"/>
    </xf>
    <xf numFmtId="0" fontId="11" fillId="0" borderId="5" xfId="0" applyFont="1" applyBorder="1" applyAlignment="1">
      <alignment vertical="top" wrapText="1"/>
    </xf>
    <xf numFmtId="0" fontId="8" fillId="0" borderId="5" xfId="0" applyFont="1" applyBorder="1"/>
    <xf numFmtId="166" fontId="13" fillId="3" borderId="15" xfId="0" applyNumberFormat="1" applyFont="1" applyFill="1" applyBorder="1"/>
    <xf numFmtId="0" fontId="13" fillId="3" borderId="15" xfId="0" applyFont="1" applyFill="1" applyBorder="1"/>
    <xf numFmtId="0" fontId="12" fillId="0" borderId="14" xfId="0" applyFont="1" applyBorder="1" applyAlignment="1"/>
    <xf numFmtId="0" fontId="12" fillId="0" borderId="14" xfId="0" applyFont="1" applyBorder="1" applyAlignment="1">
      <alignment horizontal="left" wrapText="1"/>
    </xf>
    <xf numFmtId="0" fontId="12" fillId="0" borderId="19" xfId="0" applyFont="1" applyBorder="1" applyAlignment="1">
      <alignment wrapText="1"/>
    </xf>
    <xf numFmtId="0" fontId="13" fillId="0" borderId="16" xfId="0" applyFont="1" applyBorder="1" applyAlignment="1">
      <alignment horizontal="right"/>
    </xf>
    <xf numFmtId="0" fontId="12" fillId="0" borderId="14" xfId="0" applyFont="1" applyBorder="1"/>
    <xf numFmtId="0" fontId="12" fillId="0" borderId="19" xfId="0" applyFont="1" applyBorder="1" applyAlignment="1"/>
    <xf numFmtId="0" fontId="12" fillId="0" borderId="23" xfId="0" applyFont="1" applyBorder="1" applyAlignment="1">
      <alignment horizontal="right"/>
    </xf>
    <xf numFmtId="0" fontId="13" fillId="2" borderId="15" xfId="0" applyFont="1" applyFill="1" applyBorder="1"/>
    <xf numFmtId="0" fontId="13" fillId="0" borderId="19" xfId="0" applyFont="1" applyBorder="1" applyAlignment="1">
      <alignment wrapText="1"/>
    </xf>
    <xf numFmtId="0" fontId="13" fillId="3" borderId="17" xfId="0" applyFont="1" applyFill="1" applyBorder="1"/>
    <xf numFmtId="0" fontId="13" fillId="3" borderId="23" xfId="0" applyFont="1" applyFill="1" applyBorder="1" applyAlignment="1">
      <alignment horizontal="center"/>
    </xf>
    <xf numFmtId="0" fontId="13" fillId="3" borderId="18" xfId="0" applyFont="1" applyFill="1" applyBorder="1" applyAlignment="1">
      <alignment horizontal="center"/>
    </xf>
    <xf numFmtId="0" fontId="13" fillId="3" borderId="24" xfId="0" applyFont="1" applyFill="1" applyBorder="1" applyAlignment="1">
      <alignment horizontal="center"/>
    </xf>
    <xf numFmtId="0" fontId="12" fillId="0" borderId="16" xfId="0" applyFont="1" applyBorder="1" applyAlignment="1">
      <alignment horizontal="right" wrapText="1"/>
    </xf>
    <xf numFmtId="0" fontId="12" fillId="0" borderId="1" xfId="0" applyFont="1" applyBorder="1" applyAlignment="1"/>
    <xf numFmtId="0" fontId="13" fillId="3" borderId="15" xfId="0" applyFont="1" applyFill="1" applyBorder="1" applyAlignment="1">
      <alignment horizontal="center"/>
    </xf>
    <xf numFmtId="0" fontId="13" fillId="3" borderId="16" xfId="0" applyFont="1" applyFill="1" applyBorder="1" applyAlignment="1">
      <alignment horizontal="center"/>
    </xf>
    <xf numFmtId="0" fontId="13" fillId="3" borderId="17" xfId="0" applyFont="1" applyFill="1" applyBorder="1" applyAlignment="1">
      <alignment horizontal="center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right" wrapText="1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horizontal="right" wrapText="1"/>
    </xf>
    <xf numFmtId="0" fontId="11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8" fillId="0" borderId="12" xfId="0" applyFont="1" applyBorder="1" applyAlignment="1">
      <alignment vertical="top" wrapText="1"/>
    </xf>
    <xf numFmtId="0" fontId="13" fillId="3" borderId="16" xfId="0" applyFont="1" applyFill="1" applyBorder="1"/>
    <xf numFmtId="0" fontId="2" fillId="3" borderId="8" xfId="0" applyFont="1" applyFill="1" applyBorder="1" applyAlignment="1">
      <alignment vertical="top" wrapText="1"/>
    </xf>
    <xf numFmtId="0" fontId="13" fillId="3" borderId="15" xfId="0" applyFont="1" applyFill="1" applyBorder="1" applyAlignment="1"/>
    <xf numFmtId="0" fontId="13" fillId="2" borderId="15" xfId="0" applyFont="1" applyFill="1" applyBorder="1" applyAlignment="1">
      <alignment horizontal="center"/>
    </xf>
    <xf numFmtId="0" fontId="11" fillId="0" borderId="12" xfId="0" applyFont="1" applyBorder="1" applyAlignment="1">
      <alignment vertical="top" wrapText="1"/>
    </xf>
    <xf numFmtId="0" fontId="14" fillId="0" borderId="12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13" xfId="0" applyFont="1" applyBorder="1" applyAlignment="1">
      <alignment vertical="top" wrapText="1"/>
    </xf>
    <xf numFmtId="0" fontId="8" fillId="0" borderId="10" xfId="0" applyFont="1" applyBorder="1"/>
    <xf numFmtId="0" fontId="1" fillId="0" borderId="10" xfId="0" applyFont="1" applyFill="1" applyBorder="1" applyAlignment="1">
      <alignment horizontal="center" vertical="top" wrapText="1"/>
    </xf>
    <xf numFmtId="0" fontId="12" fillId="0" borderId="20" xfId="0" applyFont="1" applyBorder="1"/>
    <xf numFmtId="0" fontId="11" fillId="0" borderId="8" xfId="0" applyFont="1" applyBorder="1" applyAlignment="1">
      <alignment vertical="top" wrapText="1"/>
    </xf>
    <xf numFmtId="0" fontId="13" fillId="0" borderId="20" xfId="0" applyFont="1" applyBorder="1"/>
    <xf numFmtId="0" fontId="12" fillId="0" borderId="25" xfId="0" applyFont="1" applyBorder="1" applyAlignment="1">
      <alignment wrapText="1"/>
    </xf>
    <xf numFmtId="0" fontId="12" fillId="0" borderId="22" xfId="0" applyFont="1" applyBorder="1" applyAlignment="1">
      <alignment horizontal="right" wrapText="1"/>
    </xf>
    <xf numFmtId="0" fontId="12" fillId="0" borderId="25" xfId="0" applyFont="1" applyBorder="1"/>
    <xf numFmtId="0" fontId="12" fillId="0" borderId="26" xfId="0" applyFont="1" applyBorder="1"/>
    <xf numFmtId="0" fontId="12" fillId="0" borderId="27" xfId="0" applyFont="1" applyBorder="1"/>
    <xf numFmtId="0" fontId="8" fillId="3" borderId="8" xfId="0" applyFont="1" applyFill="1" applyBorder="1" applyAlignment="1">
      <alignment horizontal="center" vertical="top" wrapText="1"/>
    </xf>
    <xf numFmtId="0" fontId="8" fillId="3" borderId="2" xfId="0" applyFont="1" applyFill="1" applyBorder="1" applyAlignment="1">
      <alignment vertical="top" wrapText="1"/>
    </xf>
    <xf numFmtId="0" fontId="26" fillId="0" borderId="1" xfId="0" applyFont="1" applyBorder="1" applyAlignment="1">
      <alignment horizontal="center" vertical="top" wrapText="1"/>
    </xf>
    <xf numFmtId="164" fontId="13" fillId="4" borderId="1" xfId="0" applyNumberFormat="1" applyFont="1" applyFill="1" applyBorder="1" applyAlignment="1">
      <alignment horizontal="center" vertical="top" wrapText="1"/>
    </xf>
    <xf numFmtId="0" fontId="11" fillId="0" borderId="7" xfId="0" applyFont="1" applyFill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8" fillId="0" borderId="28" xfId="0" applyFont="1" applyBorder="1" applyAlignment="1">
      <alignment vertical="top" wrapText="1"/>
    </xf>
    <xf numFmtId="0" fontId="8" fillId="0" borderId="8" xfId="0" applyFont="1" applyBorder="1"/>
    <xf numFmtId="0" fontId="8" fillId="0" borderId="13" xfId="0" applyFont="1" applyBorder="1"/>
    <xf numFmtId="0" fontId="8" fillId="0" borderId="11" xfId="0" applyFont="1" applyBorder="1"/>
    <xf numFmtId="0" fontId="8" fillId="0" borderId="8" xfId="0" applyFont="1" applyBorder="1" applyAlignment="1">
      <alignment vertical="center"/>
    </xf>
    <xf numFmtId="0" fontId="8" fillId="2" borderId="8" xfId="0" applyFont="1" applyFill="1" applyBorder="1"/>
    <xf numFmtId="0" fontId="8" fillId="2" borderId="13" xfId="0" applyFont="1" applyFill="1" applyBorder="1"/>
    <xf numFmtId="0" fontId="2" fillId="0" borderId="8" xfId="0" applyFont="1" applyBorder="1" applyAlignment="1">
      <alignment vertical="center"/>
    </xf>
    <xf numFmtId="0" fontId="7" fillId="2" borderId="8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1" fillId="2" borderId="12" xfId="0" applyFont="1" applyFill="1" applyBorder="1" applyAlignment="1">
      <alignment horizontal="center" vertical="top" wrapText="1"/>
    </xf>
    <xf numFmtId="0" fontId="8" fillId="0" borderId="8" xfId="0" applyFont="1" applyBorder="1" applyAlignment="1">
      <alignment horizontal="right"/>
    </xf>
    <xf numFmtId="0" fontId="8" fillId="2" borderId="11" xfId="0" applyFont="1" applyFill="1" applyBorder="1" applyAlignment="1">
      <alignment horizontal="center" wrapText="1"/>
    </xf>
    <xf numFmtId="0" fontId="8" fillId="0" borderId="13" xfId="0" applyFont="1" applyBorder="1" applyAlignment="1">
      <alignment horizontal="center"/>
    </xf>
    <xf numFmtId="0" fontId="11" fillId="2" borderId="8" xfId="0" applyFont="1" applyFill="1" applyBorder="1" applyAlignment="1">
      <alignment horizontal="center" vertical="top" wrapText="1"/>
    </xf>
    <xf numFmtId="0" fontId="12" fillId="0" borderId="29" xfId="0" applyFont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12" fillId="0" borderId="29" xfId="0" applyFont="1" applyFill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0" fontId="12" fillId="0" borderId="30" xfId="0" applyFont="1" applyBorder="1" applyAlignment="1">
      <alignment horizontal="center" wrapText="1"/>
    </xf>
    <xf numFmtId="0" fontId="12" fillId="0" borderId="32" xfId="0" applyFont="1" applyBorder="1" applyAlignment="1">
      <alignment horizontal="center" wrapText="1"/>
    </xf>
    <xf numFmtId="49" fontId="12" fillId="0" borderId="29" xfId="0" applyNumberFormat="1" applyFont="1" applyBorder="1" applyAlignment="1">
      <alignment horizontal="center"/>
    </xf>
    <xf numFmtId="0" fontId="12" fillId="0" borderId="31" xfId="0" applyFont="1" applyBorder="1" applyAlignment="1">
      <alignment wrapText="1"/>
    </xf>
    <xf numFmtId="0" fontId="12" fillId="0" borderId="33" xfId="0" applyFont="1" applyBorder="1" applyAlignment="1">
      <alignment horizontal="center"/>
    </xf>
    <xf numFmtId="0" fontId="8" fillId="2" borderId="5" xfId="0" applyNumberFormat="1" applyFont="1" applyFill="1" applyBorder="1" applyAlignment="1">
      <alignment vertical="top" wrapText="1"/>
    </xf>
    <xf numFmtId="0" fontId="11" fillId="2" borderId="5" xfId="0" applyFont="1" applyFill="1" applyBorder="1" applyAlignment="1">
      <alignment vertical="top" wrapText="1"/>
    </xf>
    <xf numFmtId="0" fontId="8" fillId="0" borderId="11" xfId="0" applyNumberFormat="1" applyFont="1" applyFill="1" applyBorder="1" applyAlignment="1">
      <alignment vertical="top" wrapText="1"/>
    </xf>
    <xf numFmtId="0" fontId="14" fillId="0" borderId="11" xfId="0" applyNumberFormat="1" applyFont="1" applyFill="1" applyBorder="1" applyAlignment="1">
      <alignment vertical="top" wrapText="1"/>
    </xf>
    <xf numFmtId="0" fontId="8" fillId="0" borderId="13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8" fillId="3" borderId="2" xfId="0" applyFont="1" applyFill="1" applyBorder="1" applyAlignment="1">
      <alignment horizontal="center" vertical="top" wrapText="1"/>
    </xf>
    <xf numFmtId="0" fontId="12" fillId="0" borderId="15" xfId="0" applyFont="1" applyBorder="1" applyAlignment="1">
      <alignment horizontal="center" wrapText="1"/>
    </xf>
    <xf numFmtId="0" fontId="12" fillId="0" borderId="0" xfId="0" applyFont="1" applyBorder="1" applyAlignment="1">
      <alignment wrapText="1"/>
    </xf>
    <xf numFmtId="0" fontId="12" fillId="0" borderId="22" xfId="0" applyFont="1" applyBorder="1" applyAlignment="1">
      <alignment horizontal="right"/>
    </xf>
    <xf numFmtId="0" fontId="12" fillId="0" borderId="22" xfId="0" applyFont="1" applyBorder="1" applyAlignment="1">
      <alignment horizontal="center"/>
    </xf>
    <xf numFmtId="0" fontId="12" fillId="0" borderId="22" xfId="0" applyFont="1" applyBorder="1" applyAlignment="1"/>
    <xf numFmtId="0" fontId="13" fillId="0" borderId="23" xfId="0" applyFont="1" applyBorder="1" applyAlignment="1">
      <alignment horizontal="right" wrapText="1"/>
    </xf>
    <xf numFmtId="0" fontId="12" fillId="0" borderId="23" xfId="0" applyFont="1" applyBorder="1" applyAlignment="1">
      <alignment horizontal="center"/>
    </xf>
    <xf numFmtId="0" fontId="13" fillId="0" borderId="23" xfId="0" applyFont="1" applyBorder="1"/>
    <xf numFmtId="0" fontId="13" fillId="0" borderId="31" xfId="0" applyFont="1" applyBorder="1" applyAlignment="1">
      <alignment horizontal="center"/>
    </xf>
    <xf numFmtId="2" fontId="13" fillId="2" borderId="1" xfId="0" applyNumberFormat="1" applyFont="1" applyFill="1" applyBorder="1"/>
    <xf numFmtId="1" fontId="12" fillId="0" borderId="15" xfId="0" applyNumberFormat="1" applyFont="1" applyBorder="1" applyAlignment="1">
      <alignment horizontal="right"/>
    </xf>
    <xf numFmtId="0" fontId="12" fillId="0" borderId="16" xfId="0" applyFont="1" applyBorder="1" applyAlignment="1">
      <alignment horizontal="right"/>
    </xf>
    <xf numFmtId="0" fontId="12" fillId="0" borderId="17" xfId="0" applyFont="1" applyBorder="1" applyAlignment="1">
      <alignment horizontal="right"/>
    </xf>
    <xf numFmtId="0" fontId="8" fillId="0" borderId="7" xfId="0" applyFont="1" applyBorder="1" applyAlignment="1">
      <alignment horizontal="right" vertical="top" wrapText="1"/>
    </xf>
    <xf numFmtId="0" fontId="8" fillId="0" borderId="5" xfId="0" applyFont="1" applyBorder="1" applyAlignment="1">
      <alignment horizontal="right" vertical="top" wrapText="1"/>
    </xf>
    <xf numFmtId="0" fontId="12" fillId="0" borderId="26" xfId="0" applyFont="1" applyBorder="1" applyAlignment="1">
      <alignment horizontal="right"/>
    </xf>
    <xf numFmtId="0" fontId="12" fillId="0" borderId="27" xfId="0" applyFont="1" applyBorder="1" applyAlignment="1">
      <alignment horizontal="right"/>
    </xf>
    <xf numFmtId="0" fontId="15" fillId="0" borderId="1" xfId="0" applyFont="1" applyBorder="1" applyAlignment="1">
      <alignment horizontal="right" vertical="top" wrapText="1"/>
    </xf>
    <xf numFmtId="0" fontId="8" fillId="2" borderId="1" xfId="0" applyFont="1" applyFill="1" applyBorder="1" applyAlignment="1">
      <alignment wrapText="1"/>
    </xf>
    <xf numFmtId="0" fontId="12" fillId="0" borderId="15" xfId="0" applyFont="1" applyBorder="1" applyAlignment="1">
      <alignment horizontal="left" wrapText="1"/>
    </xf>
    <xf numFmtId="0" fontId="12" fillId="0" borderId="15" xfId="0" applyFont="1" applyBorder="1" applyAlignment="1">
      <alignment horizontal="left"/>
    </xf>
    <xf numFmtId="166" fontId="12" fillId="0" borderId="15" xfId="0" applyNumberFormat="1" applyFont="1" applyBorder="1" applyAlignment="1">
      <alignment horizontal="left"/>
    </xf>
    <xf numFmtId="166" fontId="12" fillId="0" borderId="16" xfId="0" applyNumberFormat="1" applyFont="1" applyBorder="1" applyAlignment="1">
      <alignment horizontal="left"/>
    </xf>
    <xf numFmtId="166" fontId="12" fillId="0" borderId="17" xfId="0" applyNumberFormat="1" applyFont="1" applyBorder="1" applyAlignment="1">
      <alignment horizontal="left"/>
    </xf>
    <xf numFmtId="0" fontId="8" fillId="0" borderId="8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12" fillId="0" borderId="17" xfId="0" applyFont="1" applyBorder="1" applyAlignment="1">
      <alignment horizontal="left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8" fillId="0" borderId="5" xfId="0" applyFont="1" applyBorder="1"/>
    <xf numFmtId="0" fontId="3" fillId="0" borderId="4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5" fillId="5" borderId="1" xfId="0" applyFont="1" applyFill="1" applyBorder="1" applyAlignment="1">
      <alignment horizontal="center" vertical="top" wrapText="1"/>
    </xf>
    <xf numFmtId="0" fontId="13" fillId="0" borderId="15" xfId="0" applyFont="1" applyFill="1" applyBorder="1" applyAlignment="1"/>
    <xf numFmtId="0" fontId="27" fillId="0" borderId="15" xfId="0" applyFont="1" applyBorder="1" applyAlignment="1">
      <alignment horizontal="right"/>
    </xf>
    <xf numFmtId="0" fontId="28" fillId="0" borderId="15" xfId="0" applyFont="1" applyBorder="1"/>
    <xf numFmtId="0" fontId="27" fillId="0" borderId="15" xfId="0" applyFont="1" applyBorder="1"/>
    <xf numFmtId="0" fontId="29" fillId="0" borderId="1" xfId="0" applyFont="1" applyBorder="1"/>
    <xf numFmtId="0" fontId="28" fillId="0" borderId="15" xfId="0" applyFont="1" applyBorder="1" applyAlignment="1">
      <alignment horizontal="right"/>
    </xf>
    <xf numFmtId="0" fontId="28" fillId="0" borderId="16" xfId="0" applyFont="1" applyBorder="1"/>
    <xf numFmtId="0" fontId="28" fillId="0" borderId="17" xfId="0" applyFont="1" applyBorder="1"/>
    <xf numFmtId="0" fontId="29" fillId="2" borderId="1" xfId="0" applyFont="1" applyFill="1" applyBorder="1"/>
    <xf numFmtId="0" fontId="30" fillId="0" borderId="1" xfId="0" applyFont="1" applyBorder="1"/>
    <xf numFmtId="0" fontId="30" fillId="0" borderId="15" xfId="0" applyFont="1" applyBorder="1" applyAlignment="1">
      <alignment horizontal="right" wrapText="1"/>
    </xf>
    <xf numFmtId="0" fontId="30" fillId="0" borderId="15" xfId="0" applyFont="1" applyBorder="1"/>
    <xf numFmtId="0" fontId="29" fillId="0" borderId="15" xfId="0" applyFont="1" applyBorder="1" applyAlignment="1">
      <alignment horizontal="right" wrapText="1"/>
    </xf>
    <xf numFmtId="0" fontId="29" fillId="0" borderId="15" xfId="0" applyFont="1" applyBorder="1"/>
    <xf numFmtId="0" fontId="29" fillId="0" borderId="17" xfId="0" applyFont="1" applyBorder="1"/>
    <xf numFmtId="0" fontId="29" fillId="0" borderId="16" xfId="0" applyFont="1" applyBorder="1"/>
    <xf numFmtId="0" fontId="31" fillId="0" borderId="15" xfId="0" applyFont="1" applyBorder="1"/>
    <xf numFmtId="0" fontId="29" fillId="3" borderId="1" xfId="0" applyFont="1" applyFill="1" applyBorder="1"/>
    <xf numFmtId="0" fontId="5" fillId="5" borderId="1" xfId="0" applyFont="1" applyFill="1" applyBorder="1" applyAlignment="1">
      <alignment horizontal="center" vertical="center" wrapText="1"/>
    </xf>
    <xf numFmtId="0" fontId="31" fillId="0" borderId="1" xfId="0" applyFont="1" applyBorder="1"/>
    <xf numFmtId="0" fontId="31" fillId="0" borderId="14" xfId="0" applyFont="1" applyBorder="1" applyAlignment="1">
      <alignment horizontal="right"/>
    </xf>
    <xf numFmtId="0" fontId="32" fillId="0" borderId="15" xfId="0" applyFont="1" applyBorder="1"/>
    <xf numFmtId="0" fontId="32" fillId="0" borderId="1" xfId="0" applyFont="1" applyBorder="1"/>
    <xf numFmtId="0" fontId="32" fillId="0" borderId="14" xfId="0" applyFont="1" applyBorder="1" applyAlignment="1">
      <alignment horizontal="right"/>
    </xf>
    <xf numFmtId="0" fontId="32" fillId="0" borderId="16" xfId="0" applyFont="1" applyBorder="1"/>
    <xf numFmtId="0" fontId="32" fillId="0" borderId="17" xfId="0" applyFont="1" applyBorder="1"/>
    <xf numFmtId="2" fontId="32" fillId="0" borderId="15" xfId="0" applyNumberFormat="1" applyFont="1" applyBorder="1"/>
    <xf numFmtId="2" fontId="32" fillId="0" borderId="16" xfId="0" applyNumberFormat="1" applyFont="1" applyBorder="1"/>
    <xf numFmtId="0" fontId="32" fillId="0" borderId="19" xfId="0" applyFont="1" applyBorder="1"/>
    <xf numFmtId="0" fontId="32" fillId="0" borderId="15" xfId="0" applyFont="1" applyBorder="1" applyAlignment="1">
      <alignment horizontal="right"/>
    </xf>
    <xf numFmtId="0" fontId="32" fillId="0" borderId="14" xfId="0" applyFont="1" applyBorder="1"/>
    <xf numFmtId="0" fontId="31" fillId="0" borderId="1" xfId="0" applyFont="1" applyBorder="1" applyAlignment="1">
      <alignment horizontal="right" wrapText="1"/>
    </xf>
    <xf numFmtId="49" fontId="31" fillId="0" borderId="1" xfId="0" applyNumberFormat="1" applyFont="1" applyBorder="1" applyAlignment="1">
      <alignment horizontal="right"/>
    </xf>
    <xf numFmtId="49" fontId="31" fillId="0" borderId="2" xfId="0" applyNumberFormat="1" applyFont="1" applyBorder="1" applyAlignment="1">
      <alignment horizontal="right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5" fillId="5" borderId="34" xfId="0" applyFont="1" applyFill="1" applyBorder="1" applyAlignment="1">
      <alignment horizontal="center" vertical="top" wrapText="1"/>
    </xf>
    <xf numFmtId="0" fontId="9" fillId="0" borderId="34" xfId="0" applyFont="1" applyBorder="1" applyAlignment="1">
      <alignment vertical="center" wrapText="1"/>
    </xf>
    <xf numFmtId="0" fontId="2" fillId="0" borderId="34" xfId="0" applyFont="1" applyBorder="1" applyAlignment="1">
      <alignment horizontal="center" vertical="center" wrapText="1"/>
    </xf>
    <xf numFmtId="0" fontId="6" fillId="5" borderId="34" xfId="0" applyFont="1" applyFill="1" applyBorder="1" applyAlignment="1">
      <alignment horizontal="center" vertical="center" wrapText="1"/>
    </xf>
    <xf numFmtId="0" fontId="7" fillId="2" borderId="34" xfId="0" applyNumberFormat="1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right" vertical="center"/>
    </xf>
    <xf numFmtId="2" fontId="9" fillId="5" borderId="34" xfId="0" applyNumberFormat="1" applyFont="1" applyFill="1" applyBorder="1" applyAlignment="1">
      <alignment vertical="center"/>
    </xf>
    <xf numFmtId="0" fontId="3" fillId="0" borderId="3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31" fillId="0" borderId="15" xfId="0" applyFont="1" applyBorder="1" applyAlignment="1">
      <alignment horizontal="right"/>
    </xf>
    <xf numFmtId="2" fontId="31" fillId="0" borderId="15" xfId="0" applyNumberFormat="1" applyFont="1" applyBorder="1"/>
    <xf numFmtId="0" fontId="30" fillId="0" borderId="15" xfId="0" applyFont="1" applyBorder="1" applyAlignment="1">
      <alignment horizontal="right"/>
    </xf>
    <xf numFmtId="2" fontId="29" fillId="0" borderId="15" xfId="0" applyNumberFormat="1" applyFont="1" applyBorder="1"/>
    <xf numFmtId="2" fontId="29" fillId="0" borderId="16" xfId="0" applyNumberFormat="1" applyFont="1" applyBorder="1"/>
    <xf numFmtId="2" fontId="28" fillId="0" borderId="15" xfId="0" applyNumberFormat="1" applyFont="1" applyBorder="1"/>
    <xf numFmtId="0" fontId="8" fillId="3" borderId="5" xfId="0" applyFont="1" applyFill="1" applyBorder="1"/>
    <xf numFmtId="0" fontId="8" fillId="2" borderId="2" xfId="0" applyFont="1" applyFill="1" applyBorder="1" applyAlignment="1">
      <alignment horizontal="right" vertical="top" wrapText="1"/>
    </xf>
    <xf numFmtId="2" fontId="2" fillId="3" borderId="2" xfId="0" applyNumberFormat="1" applyFont="1" applyFill="1" applyBorder="1" applyAlignment="1">
      <alignment horizontal="right"/>
    </xf>
    <xf numFmtId="0" fontId="5" fillId="7" borderId="1" xfId="0" applyFont="1" applyFill="1" applyBorder="1" applyAlignment="1">
      <alignment horizontal="center" vertical="top" wrapText="1"/>
    </xf>
    <xf numFmtId="0" fontId="14" fillId="2" borderId="5" xfId="0" applyNumberFormat="1" applyFont="1" applyFill="1" applyBorder="1" applyAlignment="1">
      <alignment vertical="top" wrapText="1"/>
    </xf>
    <xf numFmtId="2" fontId="8" fillId="0" borderId="5" xfId="0" applyNumberFormat="1" applyFont="1" applyBorder="1"/>
    <xf numFmtId="0" fontId="5" fillId="7" borderId="2" xfId="0" applyFont="1" applyFill="1" applyBorder="1" applyAlignment="1">
      <alignment horizontal="center" vertical="top" wrapText="1"/>
    </xf>
    <xf numFmtId="0" fontId="19" fillId="0" borderId="14" xfId="0" applyFont="1" applyBorder="1" applyAlignment="1">
      <alignment wrapText="1"/>
    </xf>
    <xf numFmtId="0" fontId="33" fillId="8" borderId="1" xfId="0" applyFont="1" applyFill="1" applyBorder="1" applyAlignment="1">
      <alignment horizontal="right" wrapText="1"/>
    </xf>
    <xf numFmtId="0" fontId="33" fillId="8" borderId="2" xfId="0" applyFont="1" applyFill="1" applyBorder="1" applyAlignment="1">
      <alignment horizontal="right" wrapText="1"/>
    </xf>
    <xf numFmtId="0" fontId="2" fillId="0" borderId="13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vertical="top" wrapText="1"/>
    </xf>
    <xf numFmtId="0" fontId="2" fillId="0" borderId="11" xfId="0" applyNumberFormat="1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vertical="top" wrapText="1"/>
    </xf>
    <xf numFmtId="0" fontId="2" fillId="0" borderId="3" xfId="0" applyNumberFormat="1" applyFont="1" applyFill="1" applyBorder="1" applyAlignment="1">
      <alignment vertical="top" wrapText="1"/>
    </xf>
    <xf numFmtId="2" fontId="13" fillId="0" borderId="8" xfId="0" applyNumberFormat="1" applyFont="1" applyFill="1" applyBorder="1" applyAlignment="1">
      <alignment horizontal="center" vertical="top" wrapText="1"/>
    </xf>
    <xf numFmtId="2" fontId="13" fillId="0" borderId="12" xfId="0" applyNumberFormat="1" applyFont="1" applyFill="1" applyBorder="1" applyAlignment="1">
      <alignment horizontal="center" vertical="top" wrapText="1"/>
    </xf>
    <xf numFmtId="0" fontId="28" fillId="0" borderId="0" xfId="0" applyFont="1" applyBorder="1" applyAlignment="1">
      <alignment horizontal="right"/>
    </xf>
    <xf numFmtId="0" fontId="28" fillId="0" borderId="0" xfId="0" applyFont="1" applyBorder="1"/>
    <xf numFmtId="0" fontId="27" fillId="3" borderId="0" xfId="0" applyFont="1" applyFill="1" applyBorder="1"/>
    <xf numFmtId="2" fontId="27" fillId="3" borderId="0" xfId="0" applyNumberFormat="1" applyFont="1" applyFill="1" applyBorder="1"/>
    <xf numFmtId="0" fontId="27" fillId="3" borderId="10" xfId="0" applyFont="1" applyFill="1" applyBorder="1"/>
    <xf numFmtId="0" fontId="33" fillId="8" borderId="1" xfId="0" applyNumberFormat="1" applyFont="1" applyFill="1" applyBorder="1" applyAlignment="1">
      <alignment wrapText="1"/>
    </xf>
    <xf numFmtId="0" fontId="12" fillId="0" borderId="23" xfId="0" applyFont="1" applyBorder="1" applyAlignment="1">
      <alignment horizontal="right" wrapText="1"/>
    </xf>
    <xf numFmtId="0" fontId="12" fillId="0" borderId="35" xfId="0" applyFont="1" applyBorder="1" applyAlignment="1">
      <alignment wrapText="1"/>
    </xf>
    <xf numFmtId="0" fontId="14" fillId="0" borderId="11" xfId="0" applyNumberFormat="1" applyFont="1" applyBorder="1" applyAlignment="1">
      <alignment vertical="top" wrapText="1"/>
    </xf>
    <xf numFmtId="0" fontId="13" fillId="0" borderId="23" xfId="0" applyFont="1" applyFill="1" applyBorder="1" applyAlignment="1">
      <alignment horizontal="center"/>
    </xf>
    <xf numFmtId="0" fontId="13" fillId="0" borderId="18" xfId="0" applyFont="1" applyFill="1" applyBorder="1" applyAlignment="1">
      <alignment horizontal="center"/>
    </xf>
    <xf numFmtId="0" fontId="13" fillId="0" borderId="24" xfId="0" applyFont="1" applyFill="1" applyBorder="1" applyAlignment="1">
      <alignment horizontal="center"/>
    </xf>
    <xf numFmtId="12" fontId="12" fillId="0" borderId="16" xfId="0" applyNumberFormat="1" applyFont="1" applyBorder="1"/>
    <xf numFmtId="0" fontId="33" fillId="8" borderId="2" xfId="0" applyNumberFormat="1" applyFont="1" applyFill="1" applyBorder="1" applyAlignment="1">
      <alignment wrapText="1"/>
    </xf>
    <xf numFmtId="0" fontId="12" fillId="0" borderId="2" xfId="0" applyFont="1" applyBorder="1"/>
    <xf numFmtId="0" fontId="8" fillId="4" borderId="1" xfId="0" applyFont="1" applyFill="1" applyBorder="1" applyAlignment="1">
      <alignment vertical="top" wrapText="1"/>
    </xf>
    <xf numFmtId="0" fontId="8" fillId="5" borderId="1" xfId="0" applyFont="1" applyFill="1" applyBorder="1" applyAlignment="1">
      <alignment vertical="top" wrapText="1"/>
    </xf>
    <xf numFmtId="166" fontId="13" fillId="5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top" wrapText="1"/>
    </xf>
    <xf numFmtId="0" fontId="12" fillId="3" borderId="19" xfId="0" applyFont="1" applyFill="1" applyBorder="1" applyAlignment="1">
      <alignment wrapText="1"/>
    </xf>
    <xf numFmtId="0" fontId="12" fillId="3" borderId="23" xfId="0" applyFont="1" applyFill="1" applyBorder="1" applyAlignment="1">
      <alignment horizontal="right" wrapText="1"/>
    </xf>
    <xf numFmtId="0" fontId="12" fillId="3" borderId="15" xfId="0" applyFont="1" applyFill="1" applyBorder="1"/>
    <xf numFmtId="0" fontId="12" fillId="3" borderId="14" xfId="0" applyFont="1" applyFill="1" applyBorder="1" applyAlignment="1">
      <alignment wrapText="1"/>
    </xf>
    <xf numFmtId="2" fontId="2" fillId="6" borderId="1" xfId="0" applyNumberFormat="1" applyFont="1" applyFill="1" applyBorder="1" applyAlignment="1">
      <alignment horizontal="center" vertical="top" wrapText="1"/>
    </xf>
    <xf numFmtId="166" fontId="2" fillId="6" borderId="1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wrapText="1"/>
    </xf>
    <xf numFmtId="165" fontId="8" fillId="0" borderId="0" xfId="0" applyNumberFormat="1" applyFont="1"/>
    <xf numFmtId="2" fontId="2" fillId="6" borderId="2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right"/>
    </xf>
    <xf numFmtId="0" fontId="8" fillId="0" borderId="1" xfId="0" applyFont="1" applyBorder="1" applyAlignment="1">
      <alignment horizontal="center"/>
    </xf>
    <xf numFmtId="166" fontId="12" fillId="0" borderId="15" xfId="0" applyNumberFormat="1" applyFont="1" applyBorder="1" applyAlignment="1">
      <alignment horizontal="center"/>
    </xf>
    <xf numFmtId="166" fontId="12" fillId="0" borderId="16" xfId="0" applyNumberFormat="1" applyFont="1" applyBorder="1" applyAlignment="1">
      <alignment horizontal="center"/>
    </xf>
    <xf numFmtId="166" fontId="12" fillId="0" borderId="17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12" fillId="0" borderId="14" xfId="0" applyFont="1" applyBorder="1" applyAlignment="1">
      <alignment horizontal="center"/>
    </xf>
    <xf numFmtId="0" fontId="12" fillId="0" borderId="14" xfId="0" applyFont="1" applyBorder="1" applyAlignment="1">
      <alignment horizontal="center" wrapText="1"/>
    </xf>
    <xf numFmtId="0" fontId="12" fillId="0" borderId="16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13" fillId="0" borderId="19" xfId="0" applyFont="1" applyBorder="1" applyAlignment="1"/>
    <xf numFmtId="0" fontId="13" fillId="0" borderId="23" xfId="0" applyFont="1" applyFill="1" applyBorder="1"/>
    <xf numFmtId="0" fontId="17" fillId="0" borderId="1" xfId="0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horizontal="center" vertical="top" wrapText="1"/>
    </xf>
    <xf numFmtId="0" fontId="12" fillId="0" borderId="11" xfId="0" applyFont="1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166" fontId="13" fillId="0" borderId="15" xfId="0" applyNumberFormat="1" applyFont="1" applyFill="1" applyBorder="1"/>
    <xf numFmtId="166" fontId="2" fillId="3" borderId="2" xfId="0" applyNumberFormat="1" applyFont="1" applyFill="1" applyBorder="1" applyAlignment="1">
      <alignment vertical="top" wrapText="1"/>
    </xf>
    <xf numFmtId="166" fontId="8" fillId="0" borderId="8" xfId="0" applyNumberFormat="1" applyFont="1" applyFill="1" applyBorder="1" applyAlignment="1">
      <alignment horizontal="center" vertical="top" wrapText="1"/>
    </xf>
    <xf numFmtId="166" fontId="8" fillId="0" borderId="1" xfId="0" applyNumberFormat="1" applyFont="1" applyFill="1" applyBorder="1" applyAlignment="1">
      <alignment horizontal="center" vertical="top" wrapText="1"/>
    </xf>
    <xf numFmtId="166" fontId="8" fillId="0" borderId="2" xfId="0" applyNumberFormat="1" applyFont="1" applyFill="1" applyBorder="1" applyAlignment="1">
      <alignment vertical="top" wrapText="1"/>
    </xf>
    <xf numFmtId="0" fontId="13" fillId="3" borderId="15" xfId="0" applyFont="1" applyFill="1" applyBorder="1" applyAlignment="1">
      <alignment wrapText="1"/>
    </xf>
    <xf numFmtId="0" fontId="13" fillId="0" borderId="15" xfId="0" applyFont="1" applyFill="1" applyBorder="1"/>
    <xf numFmtId="0" fontId="13" fillId="0" borderId="15" xfId="0" applyFont="1" applyFill="1" applyBorder="1" applyAlignment="1">
      <alignment horizontal="center"/>
    </xf>
    <xf numFmtId="0" fontId="13" fillId="3" borderId="36" xfId="0" applyFont="1" applyFill="1" applyBorder="1"/>
    <xf numFmtId="0" fontId="12" fillId="0" borderId="14" xfId="0" applyFont="1" applyBorder="1" applyAlignment="1">
      <alignment horizontal="right" wrapText="1"/>
    </xf>
    <xf numFmtId="0" fontId="12" fillId="0" borderId="25" xfId="0" applyFont="1" applyBorder="1" applyAlignment="1">
      <alignment horizontal="right" wrapText="1"/>
    </xf>
    <xf numFmtId="0" fontId="12" fillId="0" borderId="22" xfId="0" applyFont="1" applyBorder="1" applyAlignment="1">
      <alignment wrapText="1"/>
    </xf>
    <xf numFmtId="0" fontId="13" fillId="3" borderId="0" xfId="0" applyFont="1" applyFill="1" applyBorder="1"/>
    <xf numFmtId="0" fontId="13" fillId="3" borderId="4" xfId="0" applyFont="1" applyFill="1" applyBorder="1"/>
    <xf numFmtId="0" fontId="12" fillId="0" borderId="3" xfId="0" applyFont="1" applyBorder="1" applyAlignment="1">
      <alignment wrapText="1"/>
    </xf>
    <xf numFmtId="0" fontId="8" fillId="0" borderId="1" xfId="1" applyNumberFormat="1" applyFont="1" applyBorder="1" applyAlignment="1">
      <alignment vertical="top" wrapText="1"/>
    </xf>
    <xf numFmtId="12" fontId="2" fillId="3" borderId="1" xfId="0" applyNumberFormat="1" applyFont="1" applyFill="1" applyBorder="1" applyAlignment="1">
      <alignment horizontal="center" vertical="top" wrapText="1"/>
    </xf>
    <xf numFmtId="0" fontId="16" fillId="0" borderId="8" xfId="0" applyFont="1" applyBorder="1" applyAlignment="1">
      <alignment vertical="top" wrapText="1"/>
    </xf>
    <xf numFmtId="0" fontId="13" fillId="0" borderId="8" xfId="0" applyFont="1" applyBorder="1" applyAlignment="1">
      <alignment vertical="top" wrapText="1"/>
    </xf>
    <xf numFmtId="0" fontId="13" fillId="3" borderId="23" xfId="0" applyFont="1" applyFill="1" applyBorder="1"/>
    <xf numFmtId="0" fontId="13" fillId="3" borderId="18" xfId="0" applyFont="1" applyFill="1" applyBorder="1"/>
    <xf numFmtId="0" fontId="13" fillId="3" borderId="35" xfId="0" applyFont="1" applyFill="1" applyBorder="1"/>
    <xf numFmtId="0" fontId="12" fillId="0" borderId="5" xfId="0" applyFont="1" applyBorder="1" applyAlignment="1">
      <alignment horizontal="right"/>
    </xf>
    <xf numFmtId="0" fontId="12" fillId="0" borderId="5" xfId="0" applyFont="1" applyBorder="1" applyAlignment="1">
      <alignment horizontal="center"/>
    </xf>
    <xf numFmtId="0" fontId="12" fillId="0" borderId="5" xfId="0" applyFont="1" applyBorder="1" applyAlignment="1"/>
    <xf numFmtId="0" fontId="12" fillId="0" borderId="5" xfId="0" applyFont="1" applyBorder="1"/>
    <xf numFmtId="0" fontId="13" fillId="3" borderId="1" xfId="0" applyFont="1" applyFill="1" applyBorder="1" applyAlignment="1">
      <alignment horizontal="right"/>
    </xf>
    <xf numFmtId="0" fontId="13" fillId="0" borderId="1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wrapText="1"/>
    </xf>
    <xf numFmtId="0" fontId="12" fillId="0" borderId="15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0" fontId="13" fillId="0" borderId="11" xfId="0" applyFont="1" applyBorder="1" applyAlignment="1">
      <alignment horizontal="center"/>
    </xf>
    <xf numFmtId="0" fontId="13" fillId="0" borderId="33" xfId="0" applyFont="1" applyBorder="1" applyAlignment="1">
      <alignment horizontal="center"/>
    </xf>
    <xf numFmtId="1" fontId="13" fillId="3" borderId="1" xfId="0" applyNumberFormat="1" applyFont="1" applyFill="1" applyBorder="1"/>
    <xf numFmtId="0" fontId="2" fillId="3" borderId="12" xfId="0" applyFont="1" applyFill="1" applyBorder="1" applyAlignment="1">
      <alignment vertical="top" wrapText="1"/>
    </xf>
    <xf numFmtId="0" fontId="12" fillId="0" borderId="38" xfId="0" applyFont="1" applyBorder="1" applyAlignment="1">
      <alignment wrapText="1"/>
    </xf>
    <xf numFmtId="0" fontId="11" fillId="0" borderId="5" xfId="0" applyFont="1" applyBorder="1" applyAlignment="1">
      <alignment horizontal="left" vertical="top" wrapText="1"/>
    </xf>
    <xf numFmtId="0" fontId="13" fillId="3" borderId="1" xfId="0" applyFont="1" applyFill="1" applyBorder="1" applyAlignment="1">
      <alignment horizontal="center"/>
    </xf>
    <xf numFmtId="0" fontId="13" fillId="3" borderId="2" xfId="0" applyFont="1" applyFill="1" applyBorder="1" applyAlignment="1">
      <alignment vertical="top" wrapText="1"/>
    </xf>
    <xf numFmtId="0" fontId="13" fillId="0" borderId="2" xfId="0" applyFont="1" applyFill="1" applyBorder="1" applyAlignment="1">
      <alignment horizontal="center" vertical="top" wrapText="1"/>
    </xf>
    <xf numFmtId="0" fontId="8" fillId="0" borderId="0" xfId="0" applyFont="1" applyBorder="1" applyAlignment="1">
      <alignment vertical="top" wrapText="1"/>
    </xf>
    <xf numFmtId="0" fontId="8" fillId="0" borderId="11" xfId="0" applyFont="1" applyBorder="1" applyAlignment="1">
      <alignment vertical="top" wrapText="1"/>
    </xf>
    <xf numFmtId="0" fontId="13" fillId="0" borderId="18" xfId="0" applyFont="1" applyBorder="1" applyAlignment="1">
      <alignment horizontal="right" wrapText="1"/>
    </xf>
    <xf numFmtId="0" fontId="8" fillId="0" borderId="23" xfId="0" applyFont="1" applyBorder="1"/>
    <xf numFmtId="0" fontId="13" fillId="3" borderId="24" xfId="0" applyFont="1" applyFill="1" applyBorder="1"/>
    <xf numFmtId="0" fontId="16" fillId="0" borderId="1" xfId="0" applyFont="1" applyFill="1" applyBorder="1" applyAlignment="1">
      <alignment vertical="top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13" fillId="0" borderId="14" xfId="0" applyFont="1" applyBorder="1" applyAlignment="1">
      <alignment horizontal="right"/>
    </xf>
    <xf numFmtId="0" fontId="12" fillId="0" borderId="14" xfId="0" applyFont="1" applyBorder="1" applyAlignment="1">
      <alignment horizontal="right"/>
    </xf>
    <xf numFmtId="0" fontId="13" fillId="0" borderId="17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right" wrapText="1"/>
    </xf>
    <xf numFmtId="0" fontId="12" fillId="0" borderId="1" xfId="0" applyFont="1" applyFill="1" applyBorder="1" applyAlignment="1"/>
    <xf numFmtId="0" fontId="6" fillId="0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top" wrapText="1"/>
    </xf>
    <xf numFmtId="2" fontId="2" fillId="5" borderId="1" xfId="0" applyNumberFormat="1" applyFont="1" applyFill="1" applyBorder="1" applyAlignment="1">
      <alignment vertical="top" wrapText="1"/>
    </xf>
    <xf numFmtId="43" fontId="13" fillId="4" borderId="4" xfId="0" applyNumberFormat="1" applyFont="1" applyFill="1" applyBorder="1" applyAlignment="1">
      <alignment horizontal="center" vertical="top" wrapText="1"/>
    </xf>
    <xf numFmtId="166" fontId="13" fillId="4" borderId="4" xfId="0" applyNumberFormat="1" applyFont="1" applyFill="1" applyBorder="1" applyAlignment="1">
      <alignment horizontal="center" vertical="top" wrapText="1"/>
    </xf>
    <xf numFmtId="0" fontId="8" fillId="0" borderId="2" xfId="0" applyFont="1" applyBorder="1"/>
    <xf numFmtId="165" fontId="6" fillId="5" borderId="34" xfId="0" applyNumberFormat="1" applyFont="1" applyFill="1" applyBorder="1" applyAlignment="1">
      <alignment horizontal="center" vertical="center" wrapText="1"/>
    </xf>
    <xf numFmtId="49" fontId="12" fillId="0" borderId="29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13" fillId="0" borderId="15" xfId="0" applyNumberFormat="1" applyFont="1" applyFill="1" applyBorder="1"/>
    <xf numFmtId="0" fontId="3" fillId="0" borderId="3" xfId="0" applyFont="1" applyBorder="1" applyAlignment="1">
      <alignment horizontal="center" vertical="top" wrapText="1"/>
    </xf>
    <xf numFmtId="166" fontId="13" fillId="4" borderId="9" xfId="0" applyNumberFormat="1" applyFont="1" applyFill="1" applyBorder="1" applyAlignment="1">
      <alignment horizontal="center" vertical="top" wrapText="1"/>
    </xf>
    <xf numFmtId="0" fontId="13" fillId="0" borderId="23" xfId="0" applyFont="1" applyFill="1" applyBorder="1" applyAlignment="1">
      <alignment wrapText="1"/>
    </xf>
    <xf numFmtId="0" fontId="12" fillId="0" borderId="31" xfId="0" applyFont="1" applyFill="1" applyBorder="1" applyAlignment="1">
      <alignment horizontal="center"/>
    </xf>
    <xf numFmtId="166" fontId="2" fillId="0" borderId="1" xfId="0" applyNumberFormat="1" applyFont="1" applyFill="1" applyBorder="1" applyAlignment="1">
      <alignment horizontal="center" vertical="top" wrapText="1"/>
    </xf>
    <xf numFmtId="0" fontId="11" fillId="4" borderId="1" xfId="0" applyNumberFormat="1" applyFont="1" applyFill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166" fontId="2" fillId="3" borderId="1" xfId="0" applyNumberFormat="1" applyFont="1" applyFill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13" fillId="0" borderId="15" xfId="0" applyFont="1" applyFill="1" applyBorder="1" applyAlignment="1">
      <alignment horizontal="left" vertical="top" wrapText="1"/>
    </xf>
    <xf numFmtId="0" fontId="12" fillId="0" borderId="8" xfId="0" applyFont="1" applyFill="1" applyBorder="1" applyAlignment="1">
      <alignment vertical="top" wrapText="1"/>
    </xf>
    <xf numFmtId="0" fontId="12" fillId="0" borderId="1" xfId="0" applyFont="1" applyFill="1" applyBorder="1" applyAlignment="1">
      <alignment vertical="top" wrapText="1"/>
    </xf>
    <xf numFmtId="0" fontId="12" fillId="0" borderId="1" xfId="0" applyNumberFormat="1" applyFont="1" applyFill="1" applyBorder="1" applyAlignment="1">
      <alignment vertical="top" wrapText="1"/>
    </xf>
    <xf numFmtId="0" fontId="12" fillId="0" borderId="1" xfId="0" applyFont="1" applyFill="1" applyBorder="1" applyAlignment="1">
      <alignment horizontal="right"/>
    </xf>
    <xf numFmtId="0" fontId="12" fillId="0" borderId="1" xfId="0" applyFont="1" applyFill="1" applyBorder="1"/>
    <xf numFmtId="0" fontId="0" fillId="0" borderId="0" xfId="0" applyFill="1"/>
    <xf numFmtId="0" fontId="12" fillId="0" borderId="14" xfId="0" applyFont="1" applyFill="1" applyBorder="1" applyAlignment="1">
      <alignment horizontal="left" wrapText="1"/>
    </xf>
    <xf numFmtId="0" fontId="12" fillId="0" borderId="15" xfId="0" applyFont="1" applyFill="1" applyBorder="1" applyAlignment="1">
      <alignment horizontal="center" wrapText="1"/>
    </xf>
    <xf numFmtId="0" fontId="12" fillId="0" borderId="15" xfId="0" applyFont="1" applyFill="1" applyBorder="1" applyAlignment="1">
      <alignment horizontal="center"/>
    </xf>
    <xf numFmtId="0" fontId="12" fillId="0" borderId="15" xfId="0" applyFont="1" applyFill="1" applyBorder="1" applyAlignment="1">
      <alignment horizontal="right"/>
    </xf>
    <xf numFmtId="1" fontId="12" fillId="0" borderId="15" xfId="0" applyNumberFormat="1" applyFont="1" applyFill="1" applyBorder="1" applyAlignment="1">
      <alignment horizontal="right"/>
    </xf>
    <xf numFmtId="0" fontId="12" fillId="0" borderId="16" xfId="0" applyFont="1" applyFill="1" applyBorder="1" applyAlignment="1">
      <alignment horizontal="right"/>
    </xf>
    <xf numFmtId="0" fontId="12" fillId="0" borderId="17" xfId="0" applyFont="1" applyFill="1" applyBorder="1" applyAlignment="1">
      <alignment horizontal="right"/>
    </xf>
    <xf numFmtId="2" fontId="14" fillId="0" borderId="1" xfId="0" applyNumberFormat="1" applyFont="1" applyFill="1" applyBorder="1" applyAlignment="1">
      <alignment vertical="top" wrapText="1"/>
    </xf>
    <xf numFmtId="0" fontId="12" fillId="0" borderId="1" xfId="0" applyNumberFormat="1" applyFont="1" applyFill="1" applyBorder="1" applyAlignment="1">
      <alignment horizontal="center" vertical="top" wrapText="1"/>
    </xf>
    <xf numFmtId="0" fontId="19" fillId="0" borderId="1" xfId="0" applyNumberFormat="1" applyFont="1" applyFill="1" applyBorder="1" applyAlignment="1">
      <alignment vertical="top" wrapText="1"/>
    </xf>
    <xf numFmtId="2" fontId="12" fillId="0" borderId="1" xfId="0" applyNumberFormat="1" applyFont="1" applyFill="1" applyBorder="1"/>
    <xf numFmtId="0" fontId="8" fillId="0" borderId="37" xfId="0" applyFont="1" applyFill="1" applyBorder="1" applyAlignment="1">
      <alignment vertical="top" wrapText="1"/>
    </xf>
    <xf numFmtId="0" fontId="8" fillId="0" borderId="7" xfId="0" applyFont="1" applyFill="1" applyBorder="1" applyAlignment="1">
      <alignment horizontal="right" vertical="top" wrapText="1"/>
    </xf>
    <xf numFmtId="0" fontId="8" fillId="0" borderId="5" xfId="0" applyFont="1" applyFill="1" applyBorder="1" applyAlignment="1">
      <alignment horizontal="right" vertical="top" wrapText="1"/>
    </xf>
    <xf numFmtId="0" fontId="12" fillId="0" borderId="1" xfId="0" applyNumberFormat="1" applyFont="1" applyFill="1" applyBorder="1" applyAlignment="1">
      <alignment horizontal="right" vertical="top" wrapText="1"/>
    </xf>
    <xf numFmtId="166" fontId="13" fillId="0" borderId="3" xfId="0" applyNumberFormat="1" applyFont="1" applyFill="1" applyBorder="1" applyAlignment="1">
      <alignment horizontal="center" vertical="top" wrapText="1"/>
    </xf>
    <xf numFmtId="166" fontId="13" fillId="0" borderId="9" xfId="0" applyNumberFormat="1" applyFont="1" applyFill="1" applyBorder="1" applyAlignment="1">
      <alignment horizontal="center" vertical="top" wrapText="1"/>
    </xf>
    <xf numFmtId="166" fontId="2" fillId="0" borderId="2" xfId="0" applyNumberFormat="1" applyFont="1" applyFill="1" applyBorder="1" applyAlignment="1">
      <alignment horizontal="center" vertical="top" wrapText="1"/>
    </xf>
    <xf numFmtId="0" fontId="16" fillId="2" borderId="7" xfId="0" applyFont="1" applyFill="1" applyBorder="1" applyAlignment="1">
      <alignment horizontal="center" vertical="top" wrapText="1"/>
    </xf>
    <xf numFmtId="0" fontId="12" fillId="0" borderId="19" xfId="0" applyFont="1" applyBorder="1"/>
    <xf numFmtId="0" fontId="13" fillId="0" borderId="5" xfId="0" applyFont="1" applyFill="1" applyBorder="1" applyAlignment="1">
      <alignment horizontal="center" vertical="top" wrapText="1"/>
    </xf>
    <xf numFmtId="0" fontId="12" fillId="0" borderId="39" xfId="0" applyFont="1" applyBorder="1" applyAlignment="1">
      <alignment wrapText="1"/>
    </xf>
    <xf numFmtId="0" fontId="13" fillId="3" borderId="1" xfId="0" applyFont="1" applyFill="1" applyBorder="1" applyAlignment="1">
      <alignment horizontal="center" wrapText="1"/>
    </xf>
    <xf numFmtId="0" fontId="12" fillId="0" borderId="3" xfId="0" applyFont="1" applyBorder="1" applyAlignment="1">
      <alignment horizontal="center"/>
    </xf>
    <xf numFmtId="0" fontId="12" fillId="0" borderId="3" xfId="0" applyFont="1" applyBorder="1" applyAlignment="1">
      <alignment horizontal="center" wrapText="1"/>
    </xf>
    <xf numFmtId="0" fontId="12" fillId="0" borderId="25" xfId="0" applyFont="1" applyBorder="1" applyAlignment="1">
      <alignment horizontal="center"/>
    </xf>
    <xf numFmtId="0" fontId="12" fillId="0" borderId="25" xfId="0" applyFont="1" applyBorder="1" applyAlignment="1">
      <alignment horizontal="center" wrapText="1"/>
    </xf>
    <xf numFmtId="12" fontId="12" fillId="0" borderId="16" xfId="0" applyNumberFormat="1" applyFont="1" applyBorder="1" applyAlignment="1">
      <alignment horizontal="center"/>
    </xf>
    <xf numFmtId="0" fontId="13" fillId="3" borderId="1" xfId="0" applyFont="1" applyFill="1" applyBorder="1" applyAlignment="1">
      <alignment horizontal="right" wrapText="1"/>
    </xf>
    <xf numFmtId="0" fontId="13" fillId="3" borderId="14" xfId="0" applyFont="1" applyFill="1" applyBorder="1"/>
    <xf numFmtId="2" fontId="2" fillId="4" borderId="2" xfId="0" applyNumberFormat="1" applyFont="1" applyFill="1" applyBorder="1" applyAlignment="1">
      <alignment horizontal="center" vertical="top" wrapText="1"/>
    </xf>
    <xf numFmtId="0" fontId="13" fillId="3" borderId="14" xfId="0" applyFont="1" applyFill="1" applyBorder="1" applyAlignment="1">
      <alignment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8" fillId="2" borderId="13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11" fillId="0" borderId="1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wrapText="1"/>
    </xf>
    <xf numFmtId="0" fontId="12" fillId="2" borderId="11" xfId="0" applyFont="1" applyFill="1" applyBorder="1" applyAlignment="1">
      <alignment horizontal="center" wrapText="1"/>
    </xf>
    <xf numFmtId="0" fontId="12" fillId="2" borderId="7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12" fillId="2" borderId="0" xfId="0" applyFont="1" applyFill="1" applyBorder="1" applyAlignment="1">
      <alignment horizontal="center" wrapText="1"/>
    </xf>
    <xf numFmtId="0" fontId="8" fillId="2" borderId="13" xfId="0" applyFont="1" applyFill="1" applyBorder="1" applyAlignment="1">
      <alignment horizontal="center" wrapText="1"/>
    </xf>
    <xf numFmtId="0" fontId="8" fillId="2" borderId="11" xfId="0" applyFont="1" applyFill="1" applyBorder="1" applyAlignment="1">
      <alignment horizontal="center" wrapText="1"/>
    </xf>
    <xf numFmtId="0" fontId="11" fillId="2" borderId="13" xfId="0" applyFont="1" applyFill="1" applyBorder="1" applyAlignment="1">
      <alignment horizontal="center" wrapText="1"/>
    </xf>
    <xf numFmtId="0" fontId="11" fillId="2" borderId="11" xfId="0" applyFont="1" applyFill="1" applyBorder="1" applyAlignment="1">
      <alignment horizontal="center" wrapText="1"/>
    </xf>
    <xf numFmtId="0" fontId="11" fillId="2" borderId="7" xfId="0" applyFont="1" applyFill="1" applyBorder="1" applyAlignment="1">
      <alignment horizontal="center" wrapText="1"/>
    </xf>
    <xf numFmtId="0" fontId="16" fillId="2" borderId="11" xfId="0" applyFont="1" applyFill="1" applyBorder="1" applyAlignment="1">
      <alignment horizontal="center" wrapText="1"/>
    </xf>
    <xf numFmtId="0" fontId="16" fillId="2" borderId="7" xfId="0" applyFont="1" applyFill="1" applyBorder="1" applyAlignment="1">
      <alignment horizontal="center" wrapText="1"/>
    </xf>
    <xf numFmtId="0" fontId="2" fillId="0" borderId="3" xfId="0" applyFont="1" applyBorder="1" applyAlignment="1">
      <alignment wrapText="1"/>
    </xf>
    <xf numFmtId="0" fontId="2" fillId="0" borderId="0" xfId="0" applyFont="1" applyFill="1" applyBorder="1" applyAlignment="1">
      <alignment horizontal="center" vertical="top" wrapText="1"/>
    </xf>
    <xf numFmtId="0" fontId="12" fillId="0" borderId="13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3" fillId="0" borderId="10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32"/>
  <sheetViews>
    <sheetView topLeftCell="A720" zoomScaleNormal="100" workbookViewId="0">
      <selection activeCell="F730" sqref="F730"/>
    </sheetView>
  </sheetViews>
  <sheetFormatPr defaultRowHeight="15" x14ac:dyDescent="0.25"/>
  <cols>
    <col min="1" max="1" width="11.140625" style="439" customWidth="1"/>
    <col min="2" max="2" width="23.85546875" style="62" customWidth="1"/>
    <col min="3" max="3" width="9" style="62" customWidth="1"/>
    <col min="4" max="4" width="10.140625" style="62" customWidth="1"/>
    <col min="5" max="6" width="9.5703125" style="62" customWidth="1"/>
    <col min="7" max="7" width="9.7109375" style="62" customWidth="1"/>
    <col min="8" max="8" width="10.28515625" style="62" customWidth="1"/>
    <col min="9" max="9" width="9.7109375" style="62" customWidth="1"/>
    <col min="10" max="10" width="9.42578125" style="62" customWidth="1"/>
    <col min="11" max="11" width="10.7109375" style="466" customWidth="1"/>
    <col min="12" max="12" width="10.42578125" style="62" customWidth="1"/>
    <col min="13" max="13" width="10.28515625" style="62" customWidth="1"/>
    <col min="14" max="14" width="10.5703125" style="62" hidden="1" customWidth="1"/>
    <col min="15" max="15" width="10.7109375" style="62" hidden="1" customWidth="1"/>
  </cols>
  <sheetData>
    <row r="1" spans="1:16" ht="3" customHeight="1" x14ac:dyDescent="0.25"/>
    <row r="2" spans="1:16" ht="90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2" t="s">
        <v>9</v>
      </c>
      <c r="K2" s="3" t="s">
        <v>10</v>
      </c>
      <c r="L2" s="102" t="s">
        <v>11</v>
      </c>
      <c r="M2" s="63" t="s">
        <v>12</v>
      </c>
      <c r="N2" s="63" t="s">
        <v>13</v>
      </c>
      <c r="O2" s="63" t="s">
        <v>14</v>
      </c>
      <c r="P2" s="60"/>
    </row>
    <row r="3" spans="1:16" x14ac:dyDescent="0.25">
      <c r="A3" s="4" t="s">
        <v>15</v>
      </c>
      <c r="B3" s="5"/>
      <c r="C3" s="5"/>
      <c r="D3" s="5"/>
      <c r="E3" s="6"/>
      <c r="F3" s="6"/>
      <c r="G3" s="6"/>
      <c r="H3" s="6"/>
      <c r="I3" s="6"/>
      <c r="J3" s="6"/>
      <c r="K3" s="7"/>
      <c r="L3" s="464"/>
      <c r="M3" s="64"/>
      <c r="N3" s="65"/>
      <c r="O3" s="64"/>
    </row>
    <row r="4" spans="1:16" x14ac:dyDescent="0.25">
      <c r="A4" s="456" t="s">
        <v>16</v>
      </c>
      <c r="B4" s="13"/>
      <c r="C4" s="105"/>
      <c r="D4" s="106"/>
      <c r="E4" s="13"/>
      <c r="F4" s="13"/>
      <c r="G4" s="13"/>
      <c r="H4" s="13"/>
      <c r="I4" s="107"/>
      <c r="J4" s="107"/>
      <c r="K4" s="108"/>
      <c r="L4" s="784" t="s">
        <v>17</v>
      </c>
      <c r="M4" s="64"/>
      <c r="N4" s="65"/>
      <c r="O4" s="64"/>
    </row>
    <row r="5" spans="1:16" ht="29.25" x14ac:dyDescent="0.25">
      <c r="A5" s="457"/>
      <c r="B5" s="338" t="s">
        <v>270</v>
      </c>
      <c r="C5" s="363">
        <v>200</v>
      </c>
      <c r="D5" s="340"/>
      <c r="E5" s="340"/>
      <c r="F5" s="660"/>
      <c r="G5" s="660"/>
      <c r="H5" s="660"/>
      <c r="I5" s="660"/>
      <c r="J5" s="660"/>
      <c r="K5" s="479" t="s">
        <v>271</v>
      </c>
      <c r="L5" s="785"/>
      <c r="M5" s="64">
        <v>180</v>
      </c>
      <c r="N5" s="65"/>
      <c r="O5" s="64"/>
    </row>
    <row r="6" spans="1:16" x14ac:dyDescent="0.25">
      <c r="A6" s="457"/>
      <c r="B6" s="342" t="s">
        <v>272</v>
      </c>
      <c r="C6" s="343"/>
      <c r="D6" s="340">
        <v>29.5</v>
      </c>
      <c r="E6" s="340">
        <v>29.5</v>
      </c>
      <c r="F6" s="347">
        <f>7*E6/100</f>
        <v>2.0649999999999999</v>
      </c>
      <c r="G6" s="347">
        <f>1*E6/100</f>
        <v>0.29499999999999998</v>
      </c>
      <c r="H6" s="347">
        <f>71.4*E6/100</f>
        <v>21.063000000000002</v>
      </c>
      <c r="I6" s="395">
        <f>330*E6/100</f>
        <v>97.35</v>
      </c>
      <c r="J6" s="396">
        <v>0</v>
      </c>
      <c r="K6" s="480"/>
      <c r="L6" s="785"/>
      <c r="M6" s="64"/>
      <c r="N6" s="114">
        <v>43.22</v>
      </c>
      <c r="O6" s="68">
        <f>SUM(N6*D6)/1000</f>
        <v>1.2749900000000001</v>
      </c>
    </row>
    <row r="7" spans="1:16" x14ac:dyDescent="0.25">
      <c r="A7" s="457"/>
      <c r="B7" s="342" t="s">
        <v>228</v>
      </c>
      <c r="C7" s="354"/>
      <c r="D7" s="340">
        <v>95</v>
      </c>
      <c r="E7" s="340">
        <v>95</v>
      </c>
      <c r="F7" s="340">
        <f>2.8*E7/100</f>
        <v>2.66</v>
      </c>
      <c r="G7" s="340">
        <f>3.2*E7/100</f>
        <v>3.04</v>
      </c>
      <c r="H7" s="340">
        <f>4.7*E7/100</f>
        <v>4.4649999999999999</v>
      </c>
      <c r="I7" s="345">
        <f>58*E7/100</f>
        <v>55.1</v>
      </c>
      <c r="J7" s="346">
        <f>1.3*E7/100</f>
        <v>1.2350000000000001</v>
      </c>
      <c r="K7" s="480"/>
      <c r="L7" s="785"/>
      <c r="M7" s="64"/>
      <c r="N7" s="114">
        <v>0</v>
      </c>
      <c r="O7" s="68">
        <f>SUM(N7*D7)/1000</f>
        <v>0</v>
      </c>
    </row>
    <row r="8" spans="1:16" x14ac:dyDescent="0.25">
      <c r="A8" s="457"/>
      <c r="B8" s="342" t="s">
        <v>229</v>
      </c>
      <c r="C8" s="354"/>
      <c r="D8" s="340">
        <v>72</v>
      </c>
      <c r="E8" s="340">
        <v>72</v>
      </c>
      <c r="F8" s="341">
        <v>0</v>
      </c>
      <c r="G8" s="341">
        <v>0</v>
      </c>
      <c r="H8" s="341">
        <v>0</v>
      </c>
      <c r="I8" s="348">
        <v>0</v>
      </c>
      <c r="J8" s="349">
        <v>0</v>
      </c>
      <c r="K8" s="480"/>
      <c r="L8" s="785"/>
      <c r="M8" s="64"/>
      <c r="N8" s="114">
        <v>55.45</v>
      </c>
      <c r="O8" s="68">
        <f>SUM(N8*D8)/1000</f>
        <v>3.9923999999999999</v>
      </c>
    </row>
    <row r="9" spans="1:16" x14ac:dyDescent="0.25">
      <c r="A9" s="457"/>
      <c r="B9" s="342" t="s">
        <v>230</v>
      </c>
      <c r="C9" s="363"/>
      <c r="D9" s="340">
        <v>15</v>
      </c>
      <c r="E9" s="340">
        <v>15</v>
      </c>
      <c r="F9" s="340">
        <v>0</v>
      </c>
      <c r="G9" s="340">
        <v>0</v>
      </c>
      <c r="H9" s="340">
        <v>14.8</v>
      </c>
      <c r="I9" s="345">
        <v>57.4</v>
      </c>
      <c r="J9" s="366">
        <v>0</v>
      </c>
      <c r="K9" s="480"/>
      <c r="L9" s="785"/>
      <c r="M9" s="64"/>
      <c r="N9" s="144">
        <v>376.98</v>
      </c>
      <c r="O9" s="68">
        <f>SUM(N9*D9)/1000</f>
        <v>5.6547000000000009</v>
      </c>
    </row>
    <row r="10" spans="1:16" x14ac:dyDescent="0.25">
      <c r="A10" s="457"/>
      <c r="B10" s="342" t="s">
        <v>231</v>
      </c>
      <c r="C10" s="363"/>
      <c r="D10" s="340">
        <v>0.3</v>
      </c>
      <c r="E10" s="340">
        <v>0.3</v>
      </c>
      <c r="F10" s="340">
        <v>0</v>
      </c>
      <c r="G10" s="340">
        <v>0</v>
      </c>
      <c r="H10" s="340">
        <v>0</v>
      </c>
      <c r="I10" s="345">
        <v>0</v>
      </c>
      <c r="J10" s="346">
        <v>0</v>
      </c>
      <c r="K10" s="480"/>
      <c r="L10" s="785"/>
      <c r="M10" s="64"/>
      <c r="N10" s="114">
        <v>50.7</v>
      </c>
      <c r="O10" s="68">
        <v>0</v>
      </c>
    </row>
    <row r="11" spans="1:16" ht="15" customHeight="1" x14ac:dyDescent="0.25">
      <c r="A11" s="461"/>
      <c r="B11" s="455" t="s">
        <v>48</v>
      </c>
      <c r="C11" s="124"/>
      <c r="D11" s="13"/>
      <c r="E11" s="13"/>
      <c r="F11" s="274">
        <f>SUM(F6:F10)</f>
        <v>4.7249999999999996</v>
      </c>
      <c r="G11" s="274">
        <f>SUM(G6:G10)</f>
        <v>3.335</v>
      </c>
      <c r="H11" s="274">
        <f>SUM(H6:H10)</f>
        <v>40.328000000000003</v>
      </c>
      <c r="I11" s="274">
        <f>SUM(I6:I10)</f>
        <v>209.85</v>
      </c>
      <c r="J11" s="661">
        <f>SUM(J6:J10)</f>
        <v>1.2350000000000001</v>
      </c>
      <c r="K11" s="125"/>
      <c r="L11" s="785"/>
      <c r="M11" s="64">
        <v>180</v>
      </c>
      <c r="N11" s="65"/>
      <c r="O11" s="64"/>
    </row>
    <row r="12" spans="1:16" x14ac:dyDescent="0.25">
      <c r="A12" s="782"/>
      <c r="B12" s="426" t="s">
        <v>23</v>
      </c>
      <c r="C12" s="124">
        <v>40</v>
      </c>
      <c r="D12" s="13"/>
      <c r="E12" s="13"/>
      <c r="F12" s="13"/>
      <c r="G12" s="13"/>
      <c r="H12" s="13"/>
      <c r="I12" s="13"/>
      <c r="J12" s="107"/>
      <c r="K12" s="125" t="s">
        <v>210</v>
      </c>
      <c r="L12" s="785"/>
      <c r="M12" s="64"/>
      <c r="N12" s="114"/>
      <c r="O12" s="68"/>
    </row>
    <row r="13" spans="1:16" x14ac:dyDescent="0.25">
      <c r="A13" s="782"/>
      <c r="B13" s="107" t="s">
        <v>106</v>
      </c>
      <c r="C13" s="107"/>
      <c r="D13" s="63">
        <v>30</v>
      </c>
      <c r="E13" s="63">
        <v>30</v>
      </c>
      <c r="F13" s="63">
        <v>2.31</v>
      </c>
      <c r="G13" s="63">
        <v>0.9</v>
      </c>
      <c r="H13" s="63">
        <v>14.94</v>
      </c>
      <c r="I13" s="63">
        <v>78.599999999999994</v>
      </c>
      <c r="J13" s="231">
        <v>0</v>
      </c>
      <c r="K13" s="126"/>
      <c r="L13" s="785"/>
      <c r="M13" s="64"/>
      <c r="N13" s="114"/>
      <c r="O13" s="68"/>
    </row>
    <row r="14" spans="1:16" x14ac:dyDescent="0.25">
      <c r="A14" s="782"/>
      <c r="B14" s="107" t="s">
        <v>21</v>
      </c>
      <c r="C14" s="97"/>
      <c r="D14" s="63">
        <v>10</v>
      </c>
      <c r="E14" s="63">
        <v>10</v>
      </c>
      <c r="F14" s="63">
        <v>0.08</v>
      </c>
      <c r="G14" s="63">
        <v>7.25</v>
      </c>
      <c r="H14" s="63">
        <v>0.13</v>
      </c>
      <c r="I14" s="63">
        <v>66.099999999999994</v>
      </c>
      <c r="J14" s="231">
        <v>0</v>
      </c>
      <c r="K14" s="126"/>
      <c r="L14" s="785"/>
      <c r="M14" s="64"/>
      <c r="N14" s="65"/>
      <c r="O14" s="118" t="e">
        <f xml:space="preserve"> SUM(#REF!)</f>
        <v>#REF!</v>
      </c>
    </row>
    <row r="15" spans="1:16" x14ac:dyDescent="0.25">
      <c r="A15" s="782"/>
      <c r="B15" s="107"/>
      <c r="C15" s="107"/>
      <c r="D15" s="63"/>
      <c r="E15" s="63"/>
      <c r="F15" s="118">
        <f>SUM(F13:F14)</f>
        <v>2.39</v>
      </c>
      <c r="G15" s="118">
        <f>SUM(G13:G14)</f>
        <v>8.15</v>
      </c>
      <c r="H15" s="118">
        <f>SUM(H13:H14)</f>
        <v>15.07</v>
      </c>
      <c r="I15" s="118">
        <f>SUM(I13:I14)</f>
        <v>144.69999999999999</v>
      </c>
      <c r="J15" s="119">
        <f>SUM(J13:J14)</f>
        <v>0</v>
      </c>
      <c r="K15" s="120"/>
      <c r="L15" s="785"/>
      <c r="M15" s="64"/>
      <c r="N15" s="65"/>
      <c r="O15" s="118"/>
    </row>
    <row r="16" spans="1:16" x14ac:dyDescent="0.25">
      <c r="A16" s="782"/>
      <c r="B16" s="291" t="s">
        <v>72</v>
      </c>
      <c r="C16" s="105" t="s">
        <v>187</v>
      </c>
      <c r="D16" s="13"/>
      <c r="E16" s="13"/>
      <c r="F16" s="13"/>
      <c r="G16" s="13"/>
      <c r="H16" s="13"/>
      <c r="I16" s="13"/>
      <c r="J16" s="96"/>
      <c r="K16" s="125" t="s">
        <v>188</v>
      </c>
      <c r="L16" s="785"/>
      <c r="M16" s="64">
        <v>190</v>
      </c>
      <c r="N16" s="65"/>
      <c r="O16" s="64"/>
    </row>
    <row r="17" spans="1:15" x14ac:dyDescent="0.25">
      <c r="A17" s="782"/>
      <c r="B17" s="291" t="s">
        <v>184</v>
      </c>
      <c r="C17" s="124"/>
      <c r="D17" s="13">
        <v>30</v>
      </c>
      <c r="E17" s="13">
        <v>30</v>
      </c>
      <c r="F17" s="13"/>
      <c r="G17" s="13"/>
      <c r="H17" s="13"/>
      <c r="I17" s="13"/>
      <c r="J17" s="96"/>
      <c r="K17" s="125"/>
      <c r="L17" s="785"/>
      <c r="M17" s="64"/>
      <c r="N17" s="65"/>
      <c r="O17" s="64"/>
    </row>
    <row r="18" spans="1:15" x14ac:dyDescent="0.25">
      <c r="A18" s="782"/>
      <c r="B18" s="107" t="s">
        <v>120</v>
      </c>
      <c r="C18" s="124"/>
      <c r="D18" s="63">
        <v>32.4</v>
      </c>
      <c r="E18" s="63">
        <v>32.4</v>
      </c>
      <c r="F18" s="63">
        <v>0</v>
      </c>
      <c r="G18" s="63">
        <v>0</v>
      </c>
      <c r="H18" s="63">
        <v>0</v>
      </c>
      <c r="I18" s="63">
        <v>0</v>
      </c>
      <c r="J18" s="96">
        <v>0</v>
      </c>
      <c r="K18" s="125"/>
      <c r="L18" s="785"/>
      <c r="M18" s="64"/>
      <c r="N18" s="65"/>
      <c r="O18" s="64"/>
    </row>
    <row r="19" spans="1:15" x14ac:dyDescent="0.25">
      <c r="A19" s="782"/>
      <c r="B19" s="107" t="s">
        <v>185</v>
      </c>
      <c r="C19" s="107"/>
      <c r="D19" s="63">
        <v>0.3</v>
      </c>
      <c r="E19" s="63">
        <v>0.3</v>
      </c>
      <c r="F19" s="63">
        <v>0.06</v>
      </c>
      <c r="G19" s="63">
        <v>0</v>
      </c>
      <c r="H19" s="63">
        <v>2.07E-2</v>
      </c>
      <c r="I19" s="63">
        <v>0.45540000000000003</v>
      </c>
      <c r="J19" s="96">
        <v>0.03</v>
      </c>
      <c r="K19" s="126"/>
      <c r="L19" s="785"/>
      <c r="M19" s="64"/>
      <c r="N19" s="114">
        <v>400</v>
      </c>
      <c r="O19" s="68">
        <f>SUM(N19*D19)/1000</f>
        <v>0.12</v>
      </c>
    </row>
    <row r="20" spans="1:15" x14ac:dyDescent="0.25">
      <c r="A20" s="782"/>
      <c r="B20" s="107" t="s">
        <v>49</v>
      </c>
      <c r="C20" s="107"/>
      <c r="D20" s="63">
        <v>10</v>
      </c>
      <c r="E20" s="63">
        <v>10</v>
      </c>
      <c r="F20" s="63">
        <v>0</v>
      </c>
      <c r="G20" s="63">
        <v>0</v>
      </c>
      <c r="H20" s="63">
        <v>9.98</v>
      </c>
      <c r="I20" s="63">
        <v>37.9</v>
      </c>
      <c r="J20" s="96">
        <v>0</v>
      </c>
      <c r="K20" s="126"/>
      <c r="L20" s="785"/>
      <c r="M20" s="64"/>
      <c r="N20" s="114">
        <v>50.7</v>
      </c>
      <c r="O20" s="68">
        <f>SUM(N20*D20)/1000</f>
        <v>0.50700000000000001</v>
      </c>
    </row>
    <row r="21" spans="1:15" x14ac:dyDescent="0.25">
      <c r="A21" s="782"/>
      <c r="B21" s="107" t="s">
        <v>19</v>
      </c>
      <c r="C21" s="107"/>
      <c r="D21" s="63">
        <v>150</v>
      </c>
      <c r="E21" s="63">
        <v>150</v>
      </c>
      <c r="F21" s="63">
        <v>0</v>
      </c>
      <c r="G21" s="63">
        <v>0</v>
      </c>
      <c r="H21" s="63">
        <v>0</v>
      </c>
      <c r="I21" s="63">
        <v>0</v>
      </c>
      <c r="J21" s="96">
        <v>0</v>
      </c>
      <c r="K21" s="126"/>
      <c r="L21" s="785"/>
      <c r="M21" s="64"/>
      <c r="N21" s="114">
        <v>0</v>
      </c>
      <c r="O21" s="68">
        <f>SUM(N21*D21)/1000</f>
        <v>0</v>
      </c>
    </row>
    <row r="22" spans="1:15" x14ac:dyDescent="0.25">
      <c r="A22" s="783"/>
      <c r="B22" s="107"/>
      <c r="C22" s="107"/>
      <c r="D22" s="63"/>
      <c r="E22" s="63"/>
      <c r="F22" s="118">
        <f>SUM(F17:F21)</f>
        <v>0.06</v>
      </c>
      <c r="G22" s="118">
        <f>SUM(G17:G21)</f>
        <v>0</v>
      </c>
      <c r="H22" s="267">
        <f>SUM(H17:H21)</f>
        <v>10.0007</v>
      </c>
      <c r="I22" s="267">
        <f>SUM(I17:I21)</f>
        <v>38.355399999999996</v>
      </c>
      <c r="J22" s="127">
        <f>SUM(J17:J21)</f>
        <v>0.03</v>
      </c>
      <c r="K22" s="128"/>
      <c r="L22" s="785"/>
      <c r="M22" s="64"/>
      <c r="N22" s="65"/>
      <c r="O22" s="72">
        <f>SUM(O17:O21)</f>
        <v>0.627</v>
      </c>
    </row>
    <row r="23" spans="1:15" ht="15" hidden="1" customHeight="1" x14ac:dyDescent="0.25">
      <c r="A23" s="781" t="s">
        <v>205</v>
      </c>
      <c r="B23" s="124"/>
      <c r="C23" s="124"/>
      <c r="D23" s="63"/>
      <c r="E23" s="63"/>
      <c r="F23" s="130"/>
      <c r="G23" s="130"/>
      <c r="H23" s="130"/>
      <c r="I23" s="130"/>
      <c r="J23" s="131"/>
      <c r="K23" s="132"/>
      <c r="L23" s="785"/>
      <c r="M23" s="64"/>
      <c r="N23" s="65"/>
      <c r="O23" s="67"/>
    </row>
    <row r="24" spans="1:15" x14ac:dyDescent="0.25">
      <c r="A24" s="782"/>
      <c r="B24" s="133"/>
      <c r="C24" s="133"/>
      <c r="D24" s="63"/>
      <c r="E24" s="63"/>
      <c r="F24" s="304"/>
      <c r="G24" s="304"/>
      <c r="H24" s="304"/>
      <c r="I24" s="304"/>
      <c r="J24" s="305"/>
      <c r="K24" s="132"/>
      <c r="L24" s="785"/>
      <c r="M24" s="64"/>
      <c r="N24" s="65"/>
      <c r="O24" s="83"/>
    </row>
    <row r="25" spans="1:15" x14ac:dyDescent="0.25">
      <c r="A25" s="782"/>
      <c r="B25" s="133" t="s">
        <v>206</v>
      </c>
      <c r="C25" s="133">
        <v>100</v>
      </c>
      <c r="D25" s="63">
        <v>100</v>
      </c>
      <c r="E25" s="63">
        <v>100</v>
      </c>
      <c r="F25" s="302">
        <v>0.5</v>
      </c>
      <c r="G25" s="302">
        <v>0</v>
      </c>
      <c r="H25" s="302">
        <v>12.2</v>
      </c>
      <c r="I25" s="302">
        <v>50.8</v>
      </c>
      <c r="J25" s="303">
        <v>10</v>
      </c>
      <c r="K25" s="162" t="s">
        <v>223</v>
      </c>
      <c r="L25" s="785"/>
      <c r="M25" s="64">
        <v>100</v>
      </c>
      <c r="N25" s="65">
        <v>55.58</v>
      </c>
      <c r="O25" s="69">
        <f>SUM(D25*N25)/1000</f>
        <v>5.5579999999999998</v>
      </c>
    </row>
    <row r="26" spans="1:15" x14ac:dyDescent="0.25">
      <c r="A26" s="783"/>
      <c r="B26" s="133" t="s">
        <v>26</v>
      </c>
      <c r="C26" s="133"/>
      <c r="D26" s="63"/>
      <c r="E26" s="13"/>
      <c r="F26" s="272">
        <f>SUM(F5,F15,F22,F25)</f>
        <v>2.95</v>
      </c>
      <c r="G26" s="272">
        <f t="shared" ref="G26:J26" si="0">SUM(G5,G15,G22,G25)</f>
        <v>8.15</v>
      </c>
      <c r="H26" s="272">
        <f t="shared" si="0"/>
        <v>37.270700000000005</v>
      </c>
      <c r="I26" s="272">
        <f t="shared" si="0"/>
        <v>233.85539999999997</v>
      </c>
      <c r="J26" s="272">
        <f t="shared" si="0"/>
        <v>10.029999999999999</v>
      </c>
      <c r="K26" s="132"/>
      <c r="L26" s="786"/>
      <c r="M26" s="69">
        <f>SUM(M12:M25)</f>
        <v>290</v>
      </c>
      <c r="N26" s="65"/>
      <c r="O26" s="272" t="e">
        <f>SUM(#REF!,O15,O22,O25)</f>
        <v>#REF!</v>
      </c>
    </row>
    <row r="27" spans="1:15" x14ac:dyDescent="0.25">
      <c r="A27" s="8" t="s">
        <v>27</v>
      </c>
      <c r="B27" s="4"/>
      <c r="C27" s="4"/>
      <c r="D27" s="105"/>
      <c r="E27" s="106"/>
      <c r="F27" s="102"/>
      <c r="G27" s="63"/>
      <c r="H27" s="63"/>
      <c r="I27" s="63"/>
      <c r="J27" s="96"/>
      <c r="K27" s="108"/>
      <c r="L27" s="464"/>
      <c r="M27" s="64"/>
      <c r="N27" s="65"/>
      <c r="O27" s="64"/>
    </row>
    <row r="28" spans="1:15" ht="43.5" x14ac:dyDescent="0.25">
      <c r="A28" s="427"/>
      <c r="B28" s="351" t="s">
        <v>275</v>
      </c>
      <c r="C28" s="339">
        <v>200</v>
      </c>
      <c r="D28" s="352"/>
      <c r="E28" s="340"/>
      <c r="F28" s="401">
        <f>F29+F30+F31+F32+F33+F34+F35</f>
        <v>2.2480000000000002</v>
      </c>
      <c r="G28" s="401">
        <f>G29+G30+G31+G32+G33+G34+G35</f>
        <v>2.3260000000000001</v>
      </c>
      <c r="H28" s="401">
        <f>H29+H30+H31+H32+H33+H34+H35</f>
        <v>16.564</v>
      </c>
      <c r="I28" s="401">
        <f>I29+I30+I31+I32+I33+I34+I35</f>
        <v>94.596000000000004</v>
      </c>
      <c r="J28" s="401">
        <f>J29+J30+J31+J32+J33+J34+J35</f>
        <v>13.200000000000001</v>
      </c>
      <c r="K28" s="481" t="s">
        <v>277</v>
      </c>
      <c r="L28" s="465"/>
      <c r="M28" s="64">
        <v>200</v>
      </c>
      <c r="N28" s="65"/>
      <c r="O28" s="64"/>
    </row>
    <row r="29" spans="1:15" x14ac:dyDescent="0.25">
      <c r="A29" s="427"/>
      <c r="B29" s="353" t="s">
        <v>237</v>
      </c>
      <c r="C29" s="343"/>
      <c r="D29" s="340">
        <v>80</v>
      </c>
      <c r="E29" s="340">
        <v>60</v>
      </c>
      <c r="F29" s="340">
        <f>E29*2/100</f>
        <v>1.2</v>
      </c>
      <c r="G29" s="340">
        <f>0.4*E29/100</f>
        <v>0.24</v>
      </c>
      <c r="H29" s="340">
        <f>16.3*E29/100</f>
        <v>9.7799999999999994</v>
      </c>
      <c r="I29" s="340">
        <f>77*E29/100</f>
        <v>46.2</v>
      </c>
      <c r="J29" s="346">
        <v>12</v>
      </c>
      <c r="K29" s="480"/>
      <c r="L29" s="465"/>
      <c r="M29" s="64"/>
      <c r="N29" s="114">
        <v>20.7</v>
      </c>
      <c r="O29" s="68">
        <f t="shared" ref="O29:O35" si="1">SUM(N29*D29)/1000</f>
        <v>1.6559999999999999</v>
      </c>
    </row>
    <row r="30" spans="1:15" ht="30" x14ac:dyDescent="0.25">
      <c r="A30" s="427"/>
      <c r="B30" s="353" t="s">
        <v>276</v>
      </c>
      <c r="C30" s="343"/>
      <c r="D30" s="340">
        <v>8</v>
      </c>
      <c r="E30" s="340">
        <v>8</v>
      </c>
      <c r="F30" s="340">
        <f>10.4*E30/100</f>
        <v>0.83200000000000007</v>
      </c>
      <c r="G30" s="340">
        <f>1.1*E30/100</f>
        <v>8.8000000000000009E-2</v>
      </c>
      <c r="H30" s="340">
        <f>69.7*E30/100</f>
        <v>5.5760000000000005</v>
      </c>
      <c r="I30" s="340">
        <f>337*E30/100</f>
        <v>26.96</v>
      </c>
      <c r="J30" s="346">
        <v>0</v>
      </c>
      <c r="K30" s="480"/>
      <c r="L30" s="465"/>
      <c r="M30" s="64"/>
      <c r="N30" s="114">
        <v>21.89</v>
      </c>
      <c r="O30" s="68">
        <f t="shared" si="1"/>
        <v>0.17512</v>
      </c>
    </row>
    <row r="31" spans="1:15" x14ac:dyDescent="0.25">
      <c r="A31" s="427"/>
      <c r="B31" s="353" t="s">
        <v>239</v>
      </c>
      <c r="C31" s="343"/>
      <c r="D31" s="340">
        <v>10</v>
      </c>
      <c r="E31" s="340">
        <v>8</v>
      </c>
      <c r="F31" s="340">
        <f>1.4*E31/100</f>
        <v>0.11199999999999999</v>
      </c>
      <c r="G31" s="340">
        <v>0</v>
      </c>
      <c r="H31" s="340">
        <f>8.2*E31/100</f>
        <v>0.65599999999999992</v>
      </c>
      <c r="I31" s="340">
        <f>8.2*E31/100</f>
        <v>0.65599999999999992</v>
      </c>
      <c r="J31" s="346">
        <v>0.8</v>
      </c>
      <c r="K31" s="480"/>
      <c r="L31" s="465"/>
      <c r="M31" s="64"/>
      <c r="N31" s="114">
        <v>38.5</v>
      </c>
      <c r="O31" s="68">
        <f t="shared" si="1"/>
        <v>0.38500000000000001</v>
      </c>
    </row>
    <row r="32" spans="1:15" x14ac:dyDescent="0.25">
      <c r="A32" s="427"/>
      <c r="B32" s="353" t="s">
        <v>238</v>
      </c>
      <c r="C32" s="343"/>
      <c r="D32" s="340">
        <v>10</v>
      </c>
      <c r="E32" s="340">
        <v>8</v>
      </c>
      <c r="F32" s="340">
        <f>1.3*E32/100</f>
        <v>0.10400000000000001</v>
      </c>
      <c r="G32" s="340">
        <v>0</v>
      </c>
      <c r="H32" s="340">
        <f>6.9*E32/100</f>
        <v>0.55200000000000005</v>
      </c>
      <c r="I32" s="340">
        <f>35*E32/100</f>
        <v>2.8</v>
      </c>
      <c r="J32" s="346">
        <v>0.4</v>
      </c>
      <c r="K32" s="480"/>
      <c r="L32" s="465"/>
      <c r="M32" s="64"/>
      <c r="N32" s="114">
        <v>21.98</v>
      </c>
      <c r="O32" s="68">
        <f t="shared" si="1"/>
        <v>0.21980000000000002</v>
      </c>
    </row>
    <row r="33" spans="1:15" ht="30" x14ac:dyDescent="0.25">
      <c r="A33" s="427"/>
      <c r="B33" s="353" t="s">
        <v>241</v>
      </c>
      <c r="C33" s="343"/>
      <c r="D33" s="340">
        <v>2</v>
      </c>
      <c r="E33" s="340">
        <v>2</v>
      </c>
      <c r="F33" s="340">
        <v>0</v>
      </c>
      <c r="G33" s="340">
        <f>99.9*E33/100</f>
        <v>1.9980000000000002</v>
      </c>
      <c r="H33" s="340">
        <v>0</v>
      </c>
      <c r="I33" s="340">
        <f>899*E33/100</f>
        <v>17.98</v>
      </c>
      <c r="J33" s="346">
        <v>0</v>
      </c>
      <c r="K33" s="480"/>
      <c r="L33" s="465"/>
      <c r="M33" s="64"/>
      <c r="N33" s="114">
        <v>104</v>
      </c>
      <c r="O33" s="68">
        <f t="shared" si="1"/>
        <v>0.20799999999999999</v>
      </c>
    </row>
    <row r="34" spans="1:15" x14ac:dyDescent="0.25">
      <c r="A34" s="427"/>
      <c r="B34" s="353" t="s">
        <v>231</v>
      </c>
      <c r="C34" s="343"/>
      <c r="D34" s="340">
        <v>1.3</v>
      </c>
      <c r="E34" s="340">
        <v>1.3</v>
      </c>
      <c r="F34" s="340">
        <v>0</v>
      </c>
      <c r="G34" s="340">
        <v>0</v>
      </c>
      <c r="H34" s="340">
        <v>0</v>
      </c>
      <c r="I34" s="340">
        <v>0</v>
      </c>
      <c r="J34" s="346">
        <v>0</v>
      </c>
      <c r="K34" s="480"/>
      <c r="L34" s="465"/>
      <c r="M34" s="64"/>
      <c r="N34" s="114">
        <v>92.2</v>
      </c>
      <c r="O34" s="68">
        <f t="shared" si="1"/>
        <v>0.11986000000000001</v>
      </c>
    </row>
    <row r="35" spans="1:15" x14ac:dyDescent="0.25">
      <c r="A35" s="427"/>
      <c r="B35" s="353" t="s">
        <v>229</v>
      </c>
      <c r="C35" s="343"/>
      <c r="D35" s="340">
        <v>140</v>
      </c>
      <c r="E35" s="340">
        <v>140</v>
      </c>
      <c r="F35" s="340">
        <v>0</v>
      </c>
      <c r="G35" s="340">
        <v>0</v>
      </c>
      <c r="H35" s="340">
        <v>0</v>
      </c>
      <c r="I35" s="340">
        <v>0</v>
      </c>
      <c r="J35" s="346">
        <v>0</v>
      </c>
      <c r="K35" s="480"/>
      <c r="L35" s="465"/>
      <c r="M35" s="64"/>
      <c r="N35" s="114">
        <v>153</v>
      </c>
      <c r="O35" s="68">
        <f t="shared" si="1"/>
        <v>21.42</v>
      </c>
    </row>
    <row r="36" spans="1:15" ht="27" customHeight="1" x14ac:dyDescent="0.25">
      <c r="A36" s="461"/>
      <c r="B36" s="351" t="s">
        <v>341</v>
      </c>
      <c r="C36" s="339">
        <v>80</v>
      </c>
      <c r="D36" s="340"/>
      <c r="E36" s="340"/>
      <c r="F36" s="417">
        <f>F37+F38+F39</f>
        <v>6.5</v>
      </c>
      <c r="G36" s="417">
        <f t="shared" ref="G36:J36" si="2">G37+G38+G39</f>
        <v>8.3520000000000003</v>
      </c>
      <c r="H36" s="417">
        <f t="shared" si="2"/>
        <v>0.82</v>
      </c>
      <c r="I36" s="417">
        <f t="shared" si="2"/>
        <v>104.82</v>
      </c>
      <c r="J36" s="417">
        <f t="shared" si="2"/>
        <v>1</v>
      </c>
      <c r="K36" s="481" t="s">
        <v>343</v>
      </c>
      <c r="L36" s="466"/>
      <c r="M36" s="64"/>
      <c r="N36" s="114"/>
      <c r="O36" s="68"/>
    </row>
    <row r="37" spans="1:15" x14ac:dyDescent="0.25">
      <c r="A37" s="461"/>
      <c r="B37" s="353" t="s">
        <v>342</v>
      </c>
      <c r="C37" s="354"/>
      <c r="D37" s="340">
        <v>83.2</v>
      </c>
      <c r="E37" s="340">
        <v>40</v>
      </c>
      <c r="F37" s="340">
        <f>E37*15.9/100</f>
        <v>6.36</v>
      </c>
      <c r="G37" s="340">
        <f>0.9*E37/100</f>
        <v>0.36</v>
      </c>
      <c r="H37" s="340">
        <v>0</v>
      </c>
      <c r="I37" s="340">
        <f>72*E37/100</f>
        <v>28.8</v>
      </c>
      <c r="J37" s="346">
        <v>0</v>
      </c>
      <c r="K37" s="480"/>
      <c r="L37" s="466"/>
      <c r="M37" s="65">
        <v>110</v>
      </c>
      <c r="N37" s="65"/>
      <c r="O37" s="64"/>
    </row>
    <row r="38" spans="1:15" x14ac:dyDescent="0.25">
      <c r="A38" s="461"/>
      <c r="B38" s="353" t="s">
        <v>239</v>
      </c>
      <c r="C38" s="354"/>
      <c r="D38" s="340">
        <v>38.700000000000003</v>
      </c>
      <c r="E38" s="340">
        <v>32</v>
      </c>
      <c r="F38" s="340">
        <v>0.14000000000000001</v>
      </c>
      <c r="G38" s="340">
        <v>0</v>
      </c>
      <c r="H38" s="340">
        <v>0.82</v>
      </c>
      <c r="I38" s="340">
        <v>4.0999999999999996</v>
      </c>
      <c r="J38" s="346">
        <v>1</v>
      </c>
      <c r="K38" s="480"/>
      <c r="L38" s="466"/>
      <c r="M38" s="65"/>
      <c r="N38" s="114">
        <v>35</v>
      </c>
      <c r="O38" s="68">
        <f>SUM(N38*D38)/1000</f>
        <v>1.3545</v>
      </c>
    </row>
    <row r="39" spans="1:15" ht="30" x14ac:dyDescent="0.25">
      <c r="A39" s="461"/>
      <c r="B39" s="353" t="s">
        <v>241</v>
      </c>
      <c r="C39" s="372"/>
      <c r="D39" s="340">
        <v>8</v>
      </c>
      <c r="E39" s="340">
        <v>8</v>
      </c>
      <c r="F39" s="340">
        <v>0</v>
      </c>
      <c r="G39" s="340">
        <f>99.9*E39/100</f>
        <v>7.9920000000000009</v>
      </c>
      <c r="H39" s="340">
        <v>0</v>
      </c>
      <c r="I39" s="340">
        <f>899*E39/100</f>
        <v>71.92</v>
      </c>
      <c r="J39" s="346">
        <v>0</v>
      </c>
      <c r="K39" s="480"/>
      <c r="L39" s="466"/>
      <c r="M39" s="65"/>
      <c r="N39" s="114">
        <v>4.6989999999999998</v>
      </c>
      <c r="O39" s="68">
        <f>SUM(D39*N39)/40</f>
        <v>0.93979999999999997</v>
      </c>
    </row>
    <row r="40" spans="1:15" x14ac:dyDescent="0.25">
      <c r="A40" s="782"/>
      <c r="B40" s="318" t="s">
        <v>89</v>
      </c>
      <c r="C40" s="124">
        <v>150</v>
      </c>
      <c r="D40" s="13"/>
      <c r="E40" s="13"/>
      <c r="F40" s="63"/>
      <c r="G40" s="63"/>
      <c r="H40" s="63"/>
      <c r="I40" s="63"/>
      <c r="J40" s="96"/>
      <c r="K40" s="155" t="s">
        <v>90</v>
      </c>
      <c r="L40" s="785"/>
      <c r="M40" s="64">
        <v>150</v>
      </c>
      <c r="N40" s="65"/>
      <c r="O40" s="64"/>
    </row>
    <row r="41" spans="1:15" x14ac:dyDescent="0.25">
      <c r="A41" s="782"/>
      <c r="B41" s="107" t="s">
        <v>91</v>
      </c>
      <c r="C41" s="107"/>
      <c r="D41" s="63">
        <v>171</v>
      </c>
      <c r="E41" s="63">
        <v>128.30000000000001</v>
      </c>
      <c r="F41" s="63">
        <v>2.54</v>
      </c>
      <c r="G41" s="63">
        <v>0.50800000000000001</v>
      </c>
      <c r="H41" s="63">
        <v>20.701000000000001</v>
      </c>
      <c r="I41" s="63">
        <v>97.79</v>
      </c>
      <c r="J41" s="96">
        <v>25.4</v>
      </c>
      <c r="K41" s="152"/>
      <c r="L41" s="785"/>
      <c r="M41" s="64"/>
      <c r="N41" s="114">
        <v>21.89</v>
      </c>
      <c r="O41" s="68">
        <f t="shared" ref="O41:O44" si="3">SUM(N41*D41)/1000</f>
        <v>3.7431900000000002</v>
      </c>
    </row>
    <row r="42" spans="1:15" x14ac:dyDescent="0.25">
      <c r="A42" s="782"/>
      <c r="B42" s="107" t="s">
        <v>44</v>
      </c>
      <c r="C42" s="107"/>
      <c r="D42" s="63">
        <v>23.7</v>
      </c>
      <c r="E42" s="63" t="s">
        <v>92</v>
      </c>
      <c r="F42" s="63">
        <v>0.63</v>
      </c>
      <c r="G42" s="63">
        <v>0.72</v>
      </c>
      <c r="H42" s="63">
        <v>1.0575000000000001</v>
      </c>
      <c r="I42" s="63">
        <v>13.05</v>
      </c>
      <c r="J42" s="96">
        <v>0.29249999999999998</v>
      </c>
      <c r="K42" s="152"/>
      <c r="L42" s="785"/>
      <c r="M42" s="64"/>
      <c r="N42" s="114">
        <v>43.22</v>
      </c>
      <c r="O42" s="68">
        <f t="shared" si="3"/>
        <v>1.0243139999999999</v>
      </c>
    </row>
    <row r="43" spans="1:15" x14ac:dyDescent="0.25">
      <c r="A43" s="782"/>
      <c r="B43" s="107" t="s">
        <v>21</v>
      </c>
      <c r="C43" s="107"/>
      <c r="D43" s="63">
        <v>5.3</v>
      </c>
      <c r="E43" s="63">
        <v>5.3</v>
      </c>
      <c r="F43" s="63">
        <v>4.24E-2</v>
      </c>
      <c r="G43" s="63">
        <v>3.8424999999999998</v>
      </c>
      <c r="H43" s="63">
        <v>6.8900000000000003E-2</v>
      </c>
      <c r="I43" s="63">
        <v>35.033000000000001</v>
      </c>
      <c r="J43" s="96">
        <v>0</v>
      </c>
      <c r="K43" s="152"/>
      <c r="L43" s="785"/>
      <c r="M43" s="64"/>
      <c r="N43" s="114">
        <v>376.98</v>
      </c>
      <c r="O43" s="68">
        <f t="shared" si="3"/>
        <v>1.997994</v>
      </c>
    </row>
    <row r="44" spans="1:15" x14ac:dyDescent="0.25">
      <c r="A44" s="782"/>
      <c r="B44" s="107" t="s">
        <v>22</v>
      </c>
      <c r="C44" s="107"/>
      <c r="D44" s="63">
        <v>1.5</v>
      </c>
      <c r="E44" s="63">
        <v>1.5</v>
      </c>
      <c r="F44" s="63">
        <v>0</v>
      </c>
      <c r="G44" s="63">
        <v>0</v>
      </c>
      <c r="H44" s="63">
        <v>0</v>
      </c>
      <c r="I44" s="63">
        <v>0</v>
      </c>
      <c r="J44" s="96">
        <v>0</v>
      </c>
      <c r="K44" s="126"/>
      <c r="L44" s="785"/>
      <c r="M44" s="64"/>
      <c r="N44" s="114">
        <v>16.62</v>
      </c>
      <c r="O44" s="68">
        <f t="shared" si="3"/>
        <v>2.4930000000000001E-2</v>
      </c>
    </row>
    <row r="45" spans="1:15" x14ac:dyDescent="0.25">
      <c r="A45" s="782"/>
      <c r="B45" s="213"/>
      <c r="C45" s="216"/>
      <c r="D45" s="100"/>
      <c r="E45" s="100"/>
      <c r="F45" s="192">
        <f>SUM(F41:F44)</f>
        <v>3.2124000000000001</v>
      </c>
      <c r="G45" s="192">
        <f>SUM(G41:G44)</f>
        <v>5.0705</v>
      </c>
      <c r="H45" s="192">
        <f>SUM(H41:H44)</f>
        <v>21.827400000000001</v>
      </c>
      <c r="I45" s="192">
        <f>SUM(I41:I44)</f>
        <v>145.87299999999999</v>
      </c>
      <c r="J45" s="193">
        <f>SUM(J41:J44)</f>
        <v>25.692499999999999</v>
      </c>
      <c r="K45" s="156"/>
      <c r="L45" s="785"/>
      <c r="M45" s="64"/>
      <c r="N45" s="65"/>
      <c r="O45" s="72">
        <f>SUM(O41:O44)</f>
        <v>6.7904280000000012</v>
      </c>
    </row>
    <row r="46" spans="1:15" ht="30" x14ac:dyDescent="0.25">
      <c r="A46" s="782"/>
      <c r="B46" s="138" t="s">
        <v>180</v>
      </c>
      <c r="C46" s="124">
        <v>180</v>
      </c>
      <c r="D46" s="13"/>
      <c r="E46" s="13"/>
      <c r="F46" s="63"/>
      <c r="G46" s="63"/>
      <c r="H46" s="63"/>
      <c r="I46" s="63"/>
      <c r="J46" s="96"/>
      <c r="K46" s="108" t="s">
        <v>181</v>
      </c>
      <c r="L46" s="785"/>
      <c r="M46" s="65">
        <v>180</v>
      </c>
      <c r="N46" s="65"/>
      <c r="O46" s="64"/>
    </row>
    <row r="47" spans="1:15" ht="14.25" customHeight="1" x14ac:dyDescent="0.25">
      <c r="A47" s="782"/>
      <c r="B47" s="107" t="s">
        <v>182</v>
      </c>
      <c r="C47" s="107"/>
      <c r="D47" s="63">
        <v>18</v>
      </c>
      <c r="E47" s="63" t="s">
        <v>183</v>
      </c>
      <c r="F47" s="63">
        <v>0.93600000000000005</v>
      </c>
      <c r="G47" s="63">
        <v>5.3999999999999999E-2</v>
      </c>
      <c r="H47" s="63">
        <v>9.18</v>
      </c>
      <c r="I47" s="63">
        <v>41.76</v>
      </c>
      <c r="J47" s="96">
        <v>0.72</v>
      </c>
      <c r="K47" s="136"/>
      <c r="L47" s="785"/>
      <c r="M47" s="64"/>
      <c r="N47" s="114">
        <v>100</v>
      </c>
      <c r="O47" s="68">
        <f>SUM(N47*D47)/1000</f>
        <v>1.8</v>
      </c>
    </row>
    <row r="48" spans="1:15" x14ac:dyDescent="0.25">
      <c r="A48" s="782"/>
      <c r="B48" s="107" t="s">
        <v>38</v>
      </c>
      <c r="C48" s="107"/>
      <c r="D48" s="63">
        <v>14.4</v>
      </c>
      <c r="E48" s="63">
        <v>14.4</v>
      </c>
      <c r="F48" s="63">
        <v>0</v>
      </c>
      <c r="G48" s="63">
        <v>0</v>
      </c>
      <c r="H48" s="63">
        <v>14.371</v>
      </c>
      <c r="I48" s="63">
        <v>54.576000000000001</v>
      </c>
      <c r="J48" s="96">
        <v>0</v>
      </c>
      <c r="K48" s="136"/>
      <c r="L48" s="785"/>
      <c r="M48" s="64"/>
      <c r="N48" s="114">
        <v>50.7</v>
      </c>
      <c r="O48" s="68">
        <f>SUM(N48*D48)/1000</f>
        <v>0.73008000000000006</v>
      </c>
    </row>
    <row r="49" spans="1:15" x14ac:dyDescent="0.25">
      <c r="A49" s="782"/>
      <c r="B49" s="107" t="s">
        <v>19</v>
      </c>
      <c r="C49" s="107"/>
      <c r="D49" s="63">
        <v>182.7</v>
      </c>
      <c r="E49" s="63">
        <v>182.7</v>
      </c>
      <c r="F49" s="63">
        <v>0</v>
      </c>
      <c r="G49" s="63">
        <v>0</v>
      </c>
      <c r="H49" s="63">
        <v>0</v>
      </c>
      <c r="I49" s="63">
        <v>0</v>
      </c>
      <c r="J49" s="96">
        <v>0</v>
      </c>
      <c r="K49" s="136"/>
      <c r="L49" s="785"/>
      <c r="M49" s="64"/>
      <c r="N49" s="114">
        <v>0</v>
      </c>
      <c r="O49" s="64">
        <f>SUM(N49*D49)/1000</f>
        <v>0</v>
      </c>
    </row>
    <row r="50" spans="1:15" x14ac:dyDescent="0.25">
      <c r="A50" s="782"/>
      <c r="B50" s="107"/>
      <c r="C50" s="107"/>
      <c r="D50" s="63"/>
      <c r="E50" s="63"/>
      <c r="F50" s="267">
        <f>SUM(F47:F49)</f>
        <v>0.93600000000000005</v>
      </c>
      <c r="G50" s="267">
        <f>SUM(G47:G49)</f>
        <v>5.3999999999999999E-2</v>
      </c>
      <c r="H50" s="267">
        <f>SUM(H47:H49)</f>
        <v>23.551000000000002</v>
      </c>
      <c r="I50" s="267">
        <f>SUM(I47:I49)</f>
        <v>96.335999999999999</v>
      </c>
      <c r="J50" s="267">
        <f>SUM(J47:J49)</f>
        <v>0.72</v>
      </c>
      <c r="K50" s="128"/>
      <c r="L50" s="785"/>
      <c r="M50" s="64"/>
      <c r="N50" s="65"/>
      <c r="O50" s="72">
        <f>SUM(O47:O49)</f>
        <v>2.5300799999999999</v>
      </c>
    </row>
    <row r="51" spans="1:15" x14ac:dyDescent="0.25">
      <c r="A51" s="782"/>
      <c r="B51" s="291" t="s">
        <v>40</v>
      </c>
      <c r="C51" s="124">
        <v>70</v>
      </c>
      <c r="D51" s="63">
        <v>70</v>
      </c>
      <c r="E51" s="63">
        <v>70</v>
      </c>
      <c r="F51" s="118">
        <v>3.85</v>
      </c>
      <c r="G51" s="118">
        <v>1.5</v>
      </c>
      <c r="H51" s="118">
        <v>24.9</v>
      </c>
      <c r="I51" s="118">
        <v>131</v>
      </c>
      <c r="J51" s="139">
        <v>0</v>
      </c>
      <c r="K51" s="128"/>
      <c r="L51" s="785"/>
      <c r="M51" s="64">
        <v>40</v>
      </c>
      <c r="N51" s="114">
        <v>35</v>
      </c>
      <c r="O51" s="72">
        <f>SUM(N51*C51)/1000</f>
        <v>2.4500000000000002</v>
      </c>
    </row>
    <row r="52" spans="1:15" x14ac:dyDescent="0.25">
      <c r="A52" s="783"/>
      <c r="B52" s="124" t="s">
        <v>41</v>
      </c>
      <c r="C52" s="140"/>
      <c r="D52" s="141"/>
      <c r="E52" s="141"/>
      <c r="F52" s="273">
        <f>SUM(F28,F36,F45,F50:F51)</f>
        <v>16.746400000000001</v>
      </c>
      <c r="G52" s="273">
        <f>SUM(G28,G36,G45,G50:G51)</f>
        <v>17.302500000000002</v>
      </c>
      <c r="H52" s="273">
        <f>SUM(H28,H36,H45,H50:H51)</f>
        <v>87.662399999999991</v>
      </c>
      <c r="I52" s="273">
        <f>SUM(I28,I36,I45,I50:I51)</f>
        <v>572.625</v>
      </c>
      <c r="J52" s="273">
        <f>SUM(J28,J36,J45,J50:J51)</f>
        <v>40.612499999999997</v>
      </c>
      <c r="K52" s="129"/>
      <c r="L52" s="786"/>
      <c r="M52" s="69">
        <f>SUM(M40:M51)</f>
        <v>370</v>
      </c>
      <c r="N52" s="65"/>
      <c r="O52" s="273">
        <f>SUM(O28,O36,O45,O50:O51)</f>
        <v>11.770508</v>
      </c>
    </row>
    <row r="53" spans="1:15" x14ac:dyDescent="0.25">
      <c r="A53" s="427" t="s">
        <v>42</v>
      </c>
      <c r="B53" s="4"/>
      <c r="C53" s="4"/>
      <c r="D53" s="105"/>
      <c r="E53" s="106"/>
      <c r="F53" s="102"/>
      <c r="G53" s="63"/>
      <c r="H53" s="63"/>
      <c r="I53" s="63"/>
      <c r="J53" s="96"/>
      <c r="K53" s="108"/>
      <c r="L53" s="784" t="s">
        <v>43</v>
      </c>
      <c r="M53" s="64"/>
      <c r="N53" s="65"/>
      <c r="O53" s="64"/>
    </row>
    <row r="54" spans="1:15" ht="49.5" customHeight="1" x14ac:dyDescent="0.25">
      <c r="A54" s="461"/>
      <c r="B54" s="435" t="s">
        <v>145</v>
      </c>
      <c r="C54" s="105">
        <v>60</v>
      </c>
      <c r="D54" s="13"/>
      <c r="E54" s="13"/>
      <c r="F54" s="110"/>
      <c r="G54" s="110"/>
      <c r="H54" s="110"/>
      <c r="I54" s="110"/>
      <c r="J54" s="97"/>
      <c r="K54" s="112" t="s">
        <v>93</v>
      </c>
      <c r="L54" s="785"/>
      <c r="M54" s="76">
        <v>60</v>
      </c>
      <c r="N54" s="65"/>
      <c r="O54" s="64"/>
    </row>
    <row r="55" spans="1:15" x14ac:dyDescent="0.25">
      <c r="A55" s="461"/>
      <c r="B55" s="157" t="s">
        <v>33</v>
      </c>
      <c r="C55" s="286"/>
      <c r="D55" s="51">
        <v>27.5</v>
      </c>
      <c r="E55" s="51">
        <v>27.5</v>
      </c>
      <c r="F55" s="295">
        <v>2.8319999999999999</v>
      </c>
      <c r="G55" s="295">
        <v>0.3</v>
      </c>
      <c r="H55" s="295">
        <v>8.25</v>
      </c>
      <c r="I55" s="295">
        <v>91.85</v>
      </c>
      <c r="J55" s="296">
        <v>0</v>
      </c>
      <c r="K55" s="233"/>
      <c r="L55" s="785"/>
      <c r="M55" s="64"/>
      <c r="N55" s="233">
        <v>27.17</v>
      </c>
      <c r="O55" s="68">
        <f>SUM(N55*D55)/1000</f>
        <v>0.74717500000000003</v>
      </c>
    </row>
    <row r="56" spans="1:15" x14ac:dyDescent="0.25">
      <c r="A56" s="461"/>
      <c r="B56" s="186" t="s">
        <v>20</v>
      </c>
      <c r="C56" s="194"/>
      <c r="D56" s="63">
        <v>2</v>
      </c>
      <c r="E56" s="63">
        <v>2</v>
      </c>
      <c r="F56" s="297">
        <v>0</v>
      </c>
      <c r="G56" s="297">
        <v>0</v>
      </c>
      <c r="H56" s="297">
        <v>1.996</v>
      </c>
      <c r="I56" s="297">
        <v>7.58</v>
      </c>
      <c r="J56" s="298">
        <v>0</v>
      </c>
      <c r="K56" s="233"/>
      <c r="L56" s="785"/>
      <c r="M56" s="64"/>
      <c r="N56" s="233">
        <v>50.7</v>
      </c>
      <c r="O56" s="68">
        <f>SUM(N56*D56)/1000</f>
        <v>0.1014</v>
      </c>
    </row>
    <row r="57" spans="1:15" x14ac:dyDescent="0.25">
      <c r="A57" s="461"/>
      <c r="B57" s="107" t="s">
        <v>21</v>
      </c>
      <c r="C57" s="194"/>
      <c r="D57" s="63">
        <v>3</v>
      </c>
      <c r="E57" s="137" t="s">
        <v>196</v>
      </c>
      <c r="F57" s="194">
        <v>0.02</v>
      </c>
      <c r="G57" s="194">
        <v>2.34</v>
      </c>
      <c r="H57" s="194">
        <v>0.03</v>
      </c>
      <c r="I57" s="194">
        <v>21.27</v>
      </c>
      <c r="J57" s="97">
        <v>0</v>
      </c>
      <c r="K57" s="112"/>
      <c r="L57" s="785"/>
      <c r="M57" s="64"/>
      <c r="N57" s="233">
        <v>376.98</v>
      </c>
      <c r="O57" s="68">
        <f>SUM(N57*D57)/1000</f>
        <v>1.1309400000000001</v>
      </c>
    </row>
    <row r="58" spans="1:15" x14ac:dyDescent="0.25">
      <c r="A58" s="461"/>
      <c r="B58" s="107" t="s">
        <v>94</v>
      </c>
      <c r="C58" s="194"/>
      <c r="D58" s="195">
        <v>3</v>
      </c>
      <c r="E58" s="63" t="s">
        <v>198</v>
      </c>
      <c r="F58" s="297">
        <v>0.38100000000000001</v>
      </c>
      <c r="G58" s="297">
        <v>0.34499999999999997</v>
      </c>
      <c r="H58" s="297">
        <v>2.1000000000000001E-2</v>
      </c>
      <c r="I58" s="297">
        <v>4.71</v>
      </c>
      <c r="J58" s="298">
        <v>0</v>
      </c>
      <c r="K58" s="233"/>
      <c r="L58" s="785"/>
      <c r="M58" s="64"/>
      <c r="N58" s="233">
        <v>4.6989999999999998</v>
      </c>
      <c r="O58" s="68">
        <f>SUM(N58*D58)/40</f>
        <v>0.35242499999999999</v>
      </c>
    </row>
    <row r="59" spans="1:15" x14ac:dyDescent="0.25">
      <c r="A59" s="461"/>
      <c r="B59" s="107" t="s">
        <v>95</v>
      </c>
      <c r="C59" s="194"/>
      <c r="D59" s="63">
        <v>0.25</v>
      </c>
      <c r="E59" s="63">
        <v>0.25</v>
      </c>
      <c r="F59" s="297">
        <v>0</v>
      </c>
      <c r="G59" s="297">
        <v>0</v>
      </c>
      <c r="H59" s="297">
        <v>0</v>
      </c>
      <c r="I59" s="297">
        <v>0</v>
      </c>
      <c r="J59" s="298">
        <v>0</v>
      </c>
      <c r="K59" s="233"/>
      <c r="L59" s="785"/>
      <c r="M59" s="64"/>
      <c r="N59" s="233">
        <v>400</v>
      </c>
      <c r="O59" s="68">
        <f>SUM(N59*D59)/1000</f>
        <v>0.1</v>
      </c>
    </row>
    <row r="60" spans="1:15" x14ac:dyDescent="0.25">
      <c r="A60" s="461"/>
      <c r="B60" s="107" t="s">
        <v>111</v>
      </c>
      <c r="C60" s="194"/>
      <c r="D60" s="63">
        <v>7.3</v>
      </c>
      <c r="E60" s="63">
        <v>7.3</v>
      </c>
      <c r="F60" s="297">
        <v>0.20399999999999999</v>
      </c>
      <c r="G60" s="297">
        <v>0.23300000000000001</v>
      </c>
      <c r="H60" s="297">
        <v>0.34300000000000003</v>
      </c>
      <c r="I60" s="297">
        <v>4.2300000000000004</v>
      </c>
      <c r="J60" s="298">
        <v>9.4E-2</v>
      </c>
      <c r="K60" s="233"/>
      <c r="L60" s="785"/>
      <c r="M60" s="64"/>
      <c r="N60" s="233">
        <v>43.22</v>
      </c>
      <c r="O60" s="68">
        <f>SUM(N60*D60)/1000</f>
        <v>0.31550599999999995</v>
      </c>
    </row>
    <row r="61" spans="1:15" x14ac:dyDescent="0.25">
      <c r="A61" s="461"/>
      <c r="B61" s="426" t="s">
        <v>96</v>
      </c>
      <c r="C61" s="122"/>
      <c r="D61" s="13"/>
      <c r="E61" s="13">
        <v>43</v>
      </c>
      <c r="F61" s="297"/>
      <c r="G61" s="297"/>
      <c r="H61" s="297"/>
      <c r="I61" s="297"/>
      <c r="J61" s="298"/>
      <c r="K61" s="233"/>
      <c r="L61" s="785"/>
      <c r="M61" s="64"/>
      <c r="N61" s="233"/>
      <c r="O61" s="68"/>
    </row>
    <row r="62" spans="1:15" x14ac:dyDescent="0.25">
      <c r="A62" s="461"/>
      <c r="B62" s="107" t="s">
        <v>97</v>
      </c>
      <c r="C62" s="194"/>
      <c r="D62" s="63">
        <v>1.3</v>
      </c>
      <c r="E62" s="63">
        <v>1.3</v>
      </c>
      <c r="F62" s="297">
        <v>0.13300000000000001</v>
      </c>
      <c r="G62" s="297">
        <v>0.01</v>
      </c>
      <c r="H62" s="297">
        <v>0.75900000000000001</v>
      </c>
      <c r="I62" s="297">
        <v>4.3419999999999996</v>
      </c>
      <c r="J62" s="298">
        <v>0</v>
      </c>
      <c r="K62" s="233"/>
      <c r="L62" s="785"/>
      <c r="M62" s="64"/>
      <c r="N62" s="233">
        <v>27.17</v>
      </c>
      <c r="O62" s="68">
        <f>SUM(N62*D62)/1000</f>
        <v>3.5321000000000005E-2</v>
      </c>
    </row>
    <row r="63" spans="1:15" x14ac:dyDescent="0.25">
      <c r="A63" s="461"/>
      <c r="B63" s="107" t="s">
        <v>146</v>
      </c>
      <c r="C63" s="194"/>
      <c r="D63" s="63">
        <v>25</v>
      </c>
      <c r="E63" s="63">
        <v>25</v>
      </c>
      <c r="F63" s="297">
        <v>0.1</v>
      </c>
      <c r="G63" s="297">
        <v>0</v>
      </c>
      <c r="H63" s="297">
        <v>16.25</v>
      </c>
      <c r="I63" s="297">
        <v>62.5</v>
      </c>
      <c r="J63" s="298">
        <v>0.125</v>
      </c>
      <c r="K63" s="233"/>
      <c r="L63" s="785"/>
      <c r="M63" s="64"/>
      <c r="N63" s="233">
        <v>110</v>
      </c>
      <c r="O63" s="68">
        <f>SUM(N63*D63)/1000</f>
        <v>2.75</v>
      </c>
    </row>
    <row r="64" spans="1:15" ht="30" x14ac:dyDescent="0.25">
      <c r="A64" s="461"/>
      <c r="B64" s="186" t="s">
        <v>147</v>
      </c>
      <c r="C64" s="194"/>
      <c r="D64" s="63">
        <v>0.2</v>
      </c>
      <c r="E64" s="63">
        <v>0.2</v>
      </c>
      <c r="F64" s="297">
        <v>0</v>
      </c>
      <c r="G64" s="297">
        <v>0.29899999999999999</v>
      </c>
      <c r="H64" s="297">
        <v>0</v>
      </c>
      <c r="I64" s="297">
        <v>2.69</v>
      </c>
      <c r="J64" s="298">
        <v>0</v>
      </c>
      <c r="K64" s="233"/>
      <c r="L64" s="785"/>
      <c r="M64" s="64"/>
      <c r="N64" s="233">
        <v>92.2</v>
      </c>
      <c r="O64" s="78">
        <f>SUM(N64*D64)/1000</f>
        <v>1.8440000000000002E-2</v>
      </c>
    </row>
    <row r="65" spans="1:15" ht="30" x14ac:dyDescent="0.25">
      <c r="A65" s="461"/>
      <c r="B65" s="186" t="s">
        <v>98</v>
      </c>
      <c r="C65" s="194"/>
      <c r="D65" s="63">
        <v>1.2</v>
      </c>
      <c r="E65" s="63" t="s">
        <v>199</v>
      </c>
      <c r="F65" s="297">
        <v>0.2</v>
      </c>
      <c r="G65" s="297">
        <v>0.184</v>
      </c>
      <c r="H65" s="297">
        <v>1.0999999999999999E-2</v>
      </c>
      <c r="I65" s="297">
        <v>2.512</v>
      </c>
      <c r="J65" s="298">
        <v>0</v>
      </c>
      <c r="K65" s="233"/>
      <c r="L65" s="785"/>
      <c r="M65" s="64"/>
      <c r="N65" s="233">
        <v>4.6989999999999998</v>
      </c>
      <c r="O65" s="78">
        <f>SUM(N65*D65)/40</f>
        <v>0.14096999999999998</v>
      </c>
    </row>
    <row r="66" spans="1:15" x14ac:dyDescent="0.25">
      <c r="A66" s="461"/>
      <c r="B66" s="186"/>
      <c r="C66" s="186"/>
      <c r="D66" s="63"/>
      <c r="E66" s="63"/>
      <c r="F66" s="130">
        <f>SUM(F55:F65)</f>
        <v>3.87</v>
      </c>
      <c r="G66" s="130">
        <f>SUM(G55:G65)</f>
        <v>3.7109999999999994</v>
      </c>
      <c r="H66" s="130">
        <f>SUM(H55:H65)</f>
        <v>27.66</v>
      </c>
      <c r="I66" s="130">
        <f>SUM(I55:I65)</f>
        <v>201.684</v>
      </c>
      <c r="J66" s="130">
        <f>SUM(J55:J65)</f>
        <v>0.219</v>
      </c>
      <c r="K66" s="158"/>
      <c r="L66" s="785"/>
      <c r="M66" s="64"/>
      <c r="N66" s="65"/>
      <c r="O66" s="72">
        <f>SUM(O55:O65)</f>
        <v>5.6921770000000009</v>
      </c>
    </row>
    <row r="67" spans="1:15" x14ac:dyDescent="0.25">
      <c r="A67" s="782"/>
      <c r="B67" s="318" t="s">
        <v>72</v>
      </c>
      <c r="C67" s="105" t="s">
        <v>187</v>
      </c>
      <c r="D67" s="13"/>
      <c r="E67" s="13"/>
      <c r="F67" s="13"/>
      <c r="G67" s="13"/>
      <c r="H67" s="13"/>
      <c r="I67" s="13"/>
      <c r="J67" s="96"/>
      <c r="K67" s="125" t="s">
        <v>188</v>
      </c>
      <c r="L67" s="785"/>
      <c r="M67" s="65">
        <v>190</v>
      </c>
      <c r="N67" s="114"/>
      <c r="O67" s="294"/>
    </row>
    <row r="68" spans="1:15" x14ac:dyDescent="0.25">
      <c r="A68" s="782"/>
      <c r="B68" s="318" t="s">
        <v>184</v>
      </c>
      <c r="C68" s="124"/>
      <c r="D68" s="13">
        <v>30</v>
      </c>
      <c r="E68" s="13">
        <v>30</v>
      </c>
      <c r="F68" s="13"/>
      <c r="G68" s="13"/>
      <c r="H68" s="13"/>
      <c r="I68" s="13"/>
      <c r="J68" s="96"/>
      <c r="K68" s="125"/>
      <c r="L68" s="785"/>
      <c r="M68" s="65"/>
      <c r="N68" s="114"/>
      <c r="O68" s="294"/>
    </row>
    <row r="69" spans="1:15" x14ac:dyDescent="0.25">
      <c r="A69" s="782"/>
      <c r="B69" s="107" t="s">
        <v>120</v>
      </c>
      <c r="C69" s="124"/>
      <c r="D69" s="63">
        <v>32.4</v>
      </c>
      <c r="E69" s="63">
        <v>32.4</v>
      </c>
      <c r="F69" s="63">
        <v>0</v>
      </c>
      <c r="G69" s="63">
        <v>0</v>
      </c>
      <c r="H69" s="63">
        <v>0</v>
      </c>
      <c r="I69" s="63">
        <v>0</v>
      </c>
      <c r="J69" s="96">
        <v>0</v>
      </c>
      <c r="K69" s="125"/>
      <c r="L69" s="785"/>
      <c r="M69" s="65"/>
      <c r="N69" s="114">
        <v>0</v>
      </c>
      <c r="O69" s="294">
        <f t="shared" ref="O69:O71" si="4">SUM(D69*N69)/1000</f>
        <v>0</v>
      </c>
    </row>
    <row r="70" spans="1:15" x14ac:dyDescent="0.25">
      <c r="A70" s="782"/>
      <c r="B70" s="107" t="s">
        <v>185</v>
      </c>
      <c r="C70" s="107"/>
      <c r="D70" s="63">
        <v>0.3</v>
      </c>
      <c r="E70" s="63">
        <v>0.3</v>
      </c>
      <c r="F70" s="63">
        <v>0.06</v>
      </c>
      <c r="G70" s="63">
        <v>0</v>
      </c>
      <c r="H70" s="63">
        <v>2.07E-2</v>
      </c>
      <c r="I70" s="63">
        <v>0.45540000000000003</v>
      </c>
      <c r="J70" s="96">
        <v>0.03</v>
      </c>
      <c r="K70" s="126"/>
      <c r="L70" s="785"/>
      <c r="M70" s="65"/>
      <c r="N70" s="114">
        <v>400</v>
      </c>
      <c r="O70" s="294">
        <f t="shared" si="4"/>
        <v>0.12</v>
      </c>
    </row>
    <row r="71" spans="1:15" x14ac:dyDescent="0.25">
      <c r="A71" s="782"/>
      <c r="B71" s="107" t="s">
        <v>49</v>
      </c>
      <c r="C71" s="107"/>
      <c r="D71" s="63">
        <v>10</v>
      </c>
      <c r="E71" s="63">
        <v>10</v>
      </c>
      <c r="F71" s="63">
        <v>0</v>
      </c>
      <c r="G71" s="63">
        <v>0</v>
      </c>
      <c r="H71" s="63">
        <v>9.98</v>
      </c>
      <c r="I71" s="63">
        <v>37.9</v>
      </c>
      <c r="J71" s="96">
        <v>0</v>
      </c>
      <c r="K71" s="126"/>
      <c r="L71" s="785"/>
      <c r="M71" s="65"/>
      <c r="N71" s="114">
        <v>50.7</v>
      </c>
      <c r="O71" s="294">
        <f t="shared" si="4"/>
        <v>0.50700000000000001</v>
      </c>
    </row>
    <row r="72" spans="1:15" x14ac:dyDescent="0.25">
      <c r="A72" s="782"/>
      <c r="B72" s="107" t="s">
        <v>19</v>
      </c>
      <c r="C72" s="107"/>
      <c r="D72" s="63">
        <v>150</v>
      </c>
      <c r="E72" s="63">
        <v>150</v>
      </c>
      <c r="F72" s="63">
        <v>0</v>
      </c>
      <c r="G72" s="63">
        <v>0</v>
      </c>
      <c r="H72" s="63">
        <v>0</v>
      </c>
      <c r="I72" s="63">
        <v>0</v>
      </c>
      <c r="J72" s="96">
        <v>0</v>
      </c>
      <c r="K72" s="126"/>
      <c r="L72" s="785"/>
      <c r="M72" s="65"/>
      <c r="N72" s="114">
        <v>0</v>
      </c>
      <c r="O72" s="294">
        <f>SUM(D72*N72)/1000</f>
        <v>0</v>
      </c>
    </row>
    <row r="73" spans="1:15" x14ac:dyDescent="0.25">
      <c r="A73" s="782"/>
      <c r="B73" s="107"/>
      <c r="C73" s="107"/>
      <c r="D73" s="63"/>
      <c r="E73" s="63"/>
      <c r="F73" s="118">
        <f>SUM(F69:F72)</f>
        <v>0.06</v>
      </c>
      <c r="G73" s="118">
        <f>SUM(G69:G72)</f>
        <v>0</v>
      </c>
      <c r="H73" s="267">
        <f>SUM(H69:H72)</f>
        <v>10.0007</v>
      </c>
      <c r="I73" s="267">
        <f>SUM(I69:I72)</f>
        <v>38.355399999999996</v>
      </c>
      <c r="J73" s="118">
        <f>SUM(J69:J72)</f>
        <v>0.03</v>
      </c>
      <c r="K73" s="128"/>
      <c r="L73" s="785"/>
      <c r="M73" s="65"/>
      <c r="N73" s="114">
        <v>0</v>
      </c>
      <c r="O73" s="72">
        <f>SUM(O69:O72)</f>
        <v>0.627</v>
      </c>
    </row>
    <row r="74" spans="1:15" x14ac:dyDescent="0.25">
      <c r="A74" s="783"/>
      <c r="B74" s="124" t="s">
        <v>46</v>
      </c>
      <c r="C74" s="124"/>
      <c r="D74" s="13"/>
      <c r="E74" s="13"/>
      <c r="F74" s="265">
        <f>SUM(F66+F73)</f>
        <v>3.93</v>
      </c>
      <c r="G74" s="265">
        <f t="shared" ref="G74:J74" si="5">SUM(G66+G73)</f>
        <v>3.7109999999999994</v>
      </c>
      <c r="H74" s="265">
        <f t="shared" si="5"/>
        <v>37.660699999999999</v>
      </c>
      <c r="I74" s="265">
        <f t="shared" si="5"/>
        <v>240.0394</v>
      </c>
      <c r="J74" s="265">
        <f t="shared" si="5"/>
        <v>0.249</v>
      </c>
      <c r="K74" s="129"/>
      <c r="L74" s="786"/>
      <c r="M74" s="69">
        <f>SUM(M67:M73)</f>
        <v>190</v>
      </c>
      <c r="N74" s="65"/>
      <c r="O74" s="265">
        <f>SUM(O66+O73)</f>
        <v>6.3191770000000007</v>
      </c>
    </row>
    <row r="75" spans="1:15" ht="25.5" x14ac:dyDescent="0.25">
      <c r="A75" s="10" t="s">
        <v>51</v>
      </c>
      <c r="B75" s="146"/>
      <c r="C75" s="146"/>
      <c r="D75" s="63"/>
      <c r="E75" s="63"/>
      <c r="F75" s="320">
        <f>SUM(F26,F52,F74)</f>
        <v>23.6264</v>
      </c>
      <c r="G75" s="320">
        <f>SUM(G26,G52,G74)</f>
        <v>29.163499999999999</v>
      </c>
      <c r="H75" s="320">
        <f>SUM(H26,H52,H74)</f>
        <v>162.59379999999999</v>
      </c>
      <c r="I75" s="320">
        <f>SUM(I26,I52,I74)</f>
        <v>1046.5198</v>
      </c>
      <c r="J75" s="320">
        <f>SUM(J26,J52,J74)</f>
        <v>50.891500000000001</v>
      </c>
      <c r="K75" s="12"/>
      <c r="L75" s="467"/>
      <c r="M75" s="73"/>
      <c r="N75" s="74"/>
      <c r="O75" s="75" t="e">
        <f>SUM(O26,O52,O74)</f>
        <v>#REF!</v>
      </c>
    </row>
    <row r="76" spans="1:15" x14ac:dyDescent="0.25">
      <c r="A76" s="13" t="s">
        <v>52</v>
      </c>
      <c r="B76" s="13"/>
      <c r="C76" s="13"/>
      <c r="D76" s="63"/>
      <c r="E76" s="63"/>
      <c r="F76" s="13"/>
      <c r="G76" s="13"/>
      <c r="H76" s="13"/>
      <c r="I76" s="13"/>
      <c r="J76" s="96"/>
      <c r="K76" s="108"/>
      <c r="L76" s="464"/>
      <c r="M76" s="64"/>
      <c r="N76" s="65"/>
      <c r="O76" s="64"/>
    </row>
    <row r="77" spans="1:15" x14ac:dyDescent="0.25">
      <c r="A77" s="13" t="s">
        <v>53</v>
      </c>
      <c r="B77" s="13"/>
      <c r="C77" s="4"/>
      <c r="D77" s="105"/>
      <c r="E77" s="106"/>
      <c r="F77" s="63"/>
      <c r="G77" s="63"/>
      <c r="H77" s="63"/>
      <c r="I77" s="107"/>
      <c r="J77" s="96"/>
      <c r="K77" s="108"/>
      <c r="L77" s="464"/>
      <c r="M77" s="64"/>
      <c r="N77" s="65"/>
      <c r="O77" s="64"/>
    </row>
    <row r="78" spans="1:15" x14ac:dyDescent="0.25">
      <c r="A78" s="461"/>
      <c r="B78" s="793" t="s">
        <v>103</v>
      </c>
      <c r="C78" s="124"/>
      <c r="D78" s="13"/>
      <c r="E78" s="13"/>
      <c r="F78" s="63"/>
      <c r="G78" s="63"/>
      <c r="H78" s="63"/>
      <c r="I78" s="63"/>
      <c r="J78" s="96"/>
      <c r="K78" s="125"/>
      <c r="L78" s="465"/>
      <c r="M78" s="64">
        <v>180</v>
      </c>
      <c r="N78" s="65"/>
      <c r="O78" s="64"/>
    </row>
    <row r="79" spans="1:15" ht="30.75" customHeight="1" x14ac:dyDescent="0.25">
      <c r="A79" s="461"/>
      <c r="B79" s="794"/>
      <c r="C79" s="140">
        <v>180</v>
      </c>
      <c r="D79" s="154"/>
      <c r="E79" s="154"/>
      <c r="F79" s="63"/>
      <c r="G79" s="63"/>
      <c r="H79" s="63"/>
      <c r="I79" s="63"/>
      <c r="J79" s="96"/>
      <c r="K79" s="155" t="s">
        <v>104</v>
      </c>
      <c r="L79" s="465"/>
      <c r="M79" s="64"/>
      <c r="N79" s="114">
        <v>43.22</v>
      </c>
      <c r="O79" s="68">
        <f>SUM(N79*D79)/1000</f>
        <v>0</v>
      </c>
    </row>
    <row r="80" spans="1:15" x14ac:dyDescent="0.25">
      <c r="A80" s="461"/>
      <c r="B80" s="107" t="s">
        <v>105</v>
      </c>
      <c r="C80" s="96"/>
      <c r="D80" s="63">
        <v>34.299999999999997</v>
      </c>
      <c r="E80" s="63">
        <v>34.299999999999997</v>
      </c>
      <c r="F80" s="59">
        <v>4.1399999999999997</v>
      </c>
      <c r="G80" s="51">
        <v>1.198</v>
      </c>
      <c r="H80" s="51">
        <v>23.94</v>
      </c>
      <c r="I80" s="51">
        <v>125.28</v>
      </c>
      <c r="J80" s="53">
        <v>0</v>
      </c>
      <c r="K80" s="174"/>
      <c r="L80" s="465"/>
      <c r="M80" s="64"/>
      <c r="N80" s="114">
        <v>0</v>
      </c>
      <c r="O80" s="68">
        <f>SUM(N80*D80)/1000</f>
        <v>0</v>
      </c>
    </row>
    <row r="81" spans="1:15" x14ac:dyDescent="0.25">
      <c r="A81" s="461"/>
      <c r="B81" s="107" t="s">
        <v>19</v>
      </c>
      <c r="C81" s="96"/>
      <c r="D81" s="63">
        <v>60</v>
      </c>
      <c r="E81" s="63">
        <v>60</v>
      </c>
      <c r="F81" s="59">
        <v>0</v>
      </c>
      <c r="G81" s="51">
        <v>0</v>
      </c>
      <c r="H81" s="51">
        <v>0</v>
      </c>
      <c r="I81" s="51">
        <v>0</v>
      </c>
      <c r="J81" s="53">
        <v>0</v>
      </c>
      <c r="K81" s="174"/>
      <c r="L81" s="465"/>
      <c r="M81" s="64"/>
      <c r="N81" s="114">
        <v>55.45</v>
      </c>
      <c r="O81" s="68">
        <f>SUM(N81*D81)/1000</f>
        <v>3.327</v>
      </c>
    </row>
    <row r="82" spans="1:15" x14ac:dyDescent="0.25">
      <c r="A82" s="461"/>
      <c r="B82" s="107" t="s">
        <v>44</v>
      </c>
      <c r="C82" s="96"/>
      <c r="D82" s="63">
        <v>85.7</v>
      </c>
      <c r="E82" s="63">
        <v>85.7</v>
      </c>
      <c r="F82" s="59">
        <v>2.52</v>
      </c>
      <c r="G82" s="51">
        <v>2.88</v>
      </c>
      <c r="H82" s="51">
        <v>4.2300000000000004</v>
      </c>
      <c r="I82" s="51">
        <v>52.5</v>
      </c>
      <c r="J82" s="53">
        <v>1.17</v>
      </c>
      <c r="K82" s="174"/>
      <c r="L82" s="465"/>
      <c r="M82" s="64"/>
      <c r="N82" s="144">
        <v>376.98</v>
      </c>
      <c r="O82" s="68">
        <f>SUM(N82*D82)/1000</f>
        <v>32.307186000000002</v>
      </c>
    </row>
    <row r="83" spans="1:15" x14ac:dyDescent="0.25">
      <c r="A83" s="461"/>
      <c r="B83" s="107" t="s">
        <v>49</v>
      </c>
      <c r="C83" s="96"/>
      <c r="D83" s="63">
        <v>5</v>
      </c>
      <c r="E83" s="63">
        <v>5</v>
      </c>
      <c r="F83" s="59">
        <v>0</v>
      </c>
      <c r="G83" s="51">
        <v>0</v>
      </c>
      <c r="H83" s="51">
        <v>5.3890000000000002</v>
      </c>
      <c r="I83" s="51">
        <v>20.466000000000001</v>
      </c>
      <c r="J83" s="53">
        <v>0</v>
      </c>
      <c r="K83" s="126"/>
      <c r="L83" s="465"/>
      <c r="M83" s="64"/>
      <c r="N83" s="114">
        <v>50.7</v>
      </c>
      <c r="O83" s="68">
        <v>0</v>
      </c>
    </row>
    <row r="84" spans="1:15" x14ac:dyDescent="0.25">
      <c r="A84" s="228"/>
      <c r="B84" s="96" t="s">
        <v>112</v>
      </c>
      <c r="C84" s="96"/>
      <c r="D84" s="63">
        <v>0.5</v>
      </c>
      <c r="E84" s="63">
        <v>0.5</v>
      </c>
      <c r="F84" s="59">
        <v>0</v>
      </c>
      <c r="G84" s="59">
        <v>0</v>
      </c>
      <c r="H84" s="59">
        <v>0</v>
      </c>
      <c r="I84" s="59">
        <v>0</v>
      </c>
      <c r="J84" s="191">
        <v>0</v>
      </c>
      <c r="K84" s="126"/>
      <c r="L84" s="465"/>
      <c r="M84" s="64">
        <v>50</v>
      </c>
      <c r="N84" s="65"/>
      <c r="O84" s="64"/>
    </row>
    <row r="85" spans="1:15" x14ac:dyDescent="0.25">
      <c r="A85" s="228"/>
      <c r="B85" s="107" t="s">
        <v>49</v>
      </c>
      <c r="C85" s="96"/>
      <c r="D85" s="63">
        <v>8.5</v>
      </c>
      <c r="E85" s="63">
        <v>8.5</v>
      </c>
      <c r="F85" s="59">
        <v>0</v>
      </c>
      <c r="G85" s="51">
        <v>0</v>
      </c>
      <c r="H85" s="51">
        <v>5.3890000000000002</v>
      </c>
      <c r="I85" s="51">
        <v>20.466000000000001</v>
      </c>
      <c r="J85" s="53">
        <v>0</v>
      </c>
      <c r="K85" s="126"/>
      <c r="L85" s="465"/>
      <c r="M85" s="64"/>
      <c r="N85" s="65"/>
      <c r="O85" s="64"/>
    </row>
    <row r="86" spans="1:15" x14ac:dyDescent="0.25">
      <c r="A86" s="228"/>
      <c r="B86" s="96" t="s">
        <v>310</v>
      </c>
      <c r="C86" s="96"/>
      <c r="D86" s="63">
        <v>171.5</v>
      </c>
      <c r="E86" s="63">
        <v>171.5</v>
      </c>
      <c r="F86" s="59">
        <v>0</v>
      </c>
      <c r="G86" s="59">
        <v>0</v>
      </c>
      <c r="H86" s="59">
        <v>0</v>
      </c>
      <c r="I86" s="59">
        <v>0</v>
      </c>
      <c r="J86" s="191">
        <v>0</v>
      </c>
      <c r="K86" s="126"/>
      <c r="L86" s="465"/>
      <c r="M86" s="64"/>
      <c r="N86" s="114">
        <v>50</v>
      </c>
      <c r="O86" s="68">
        <f>SUM(N86*D86)/1000</f>
        <v>8.5749999999999993</v>
      </c>
    </row>
    <row r="87" spans="1:15" x14ac:dyDescent="0.25">
      <c r="A87" s="228"/>
      <c r="B87" s="96" t="s">
        <v>330</v>
      </c>
      <c r="C87" s="101"/>
      <c r="D87" s="100">
        <v>180</v>
      </c>
      <c r="E87" s="100"/>
      <c r="F87" s="59"/>
      <c r="G87" s="59"/>
      <c r="H87" s="59"/>
      <c r="I87" s="59"/>
      <c r="J87" s="191"/>
      <c r="K87" s="126"/>
      <c r="L87" s="465"/>
      <c r="M87" s="64"/>
      <c r="N87" s="114"/>
      <c r="O87" s="68"/>
    </row>
    <row r="88" spans="1:15" x14ac:dyDescent="0.25">
      <c r="A88" s="228"/>
      <c r="B88" s="116"/>
      <c r="C88" s="117"/>
      <c r="D88" s="100"/>
      <c r="E88" s="100"/>
      <c r="F88" s="118">
        <f>SUM(F79:F86)</f>
        <v>6.66</v>
      </c>
      <c r="G88" s="118">
        <f>SUM(G79:G86)</f>
        <v>4.0779999999999994</v>
      </c>
      <c r="H88" s="118">
        <f>SUM(H79:H86)</f>
        <v>38.948000000000008</v>
      </c>
      <c r="I88" s="118">
        <f>SUM(I79:I86)</f>
        <v>218.71200000000002</v>
      </c>
      <c r="J88" s="118">
        <f>SUM(J79:J86)</f>
        <v>1.17</v>
      </c>
      <c r="K88" s="120"/>
      <c r="L88" s="465"/>
      <c r="M88" s="64"/>
      <c r="N88" s="114">
        <v>110</v>
      </c>
      <c r="O88" s="68">
        <f>SUM(N88*D88)/1000</f>
        <v>0</v>
      </c>
    </row>
    <row r="89" spans="1:15" x14ac:dyDescent="0.25">
      <c r="A89" s="457"/>
      <c r="B89" s="133" t="s">
        <v>78</v>
      </c>
      <c r="C89" s="133">
        <v>25</v>
      </c>
      <c r="D89" s="63">
        <v>25</v>
      </c>
      <c r="E89" s="63">
        <v>25</v>
      </c>
      <c r="F89" s="118">
        <v>0.96</v>
      </c>
      <c r="G89" s="118">
        <v>0.84</v>
      </c>
      <c r="H89" s="118">
        <v>24.33</v>
      </c>
      <c r="I89" s="118">
        <v>102.63</v>
      </c>
      <c r="J89" s="119">
        <v>0</v>
      </c>
      <c r="K89" s="153" t="s">
        <v>73</v>
      </c>
      <c r="L89" s="466"/>
      <c r="M89" s="64">
        <v>30</v>
      </c>
      <c r="N89" s="65">
        <v>125</v>
      </c>
      <c r="O89" s="72">
        <f>SUM(N89*D89)/1000</f>
        <v>3.125</v>
      </c>
    </row>
    <row r="90" spans="1:15" x14ac:dyDescent="0.25">
      <c r="A90" s="782"/>
      <c r="B90" s="291" t="s">
        <v>72</v>
      </c>
      <c r="C90" s="105" t="s">
        <v>187</v>
      </c>
      <c r="D90" s="13"/>
      <c r="E90" s="13"/>
      <c r="F90" s="13"/>
      <c r="G90" s="13"/>
      <c r="H90" s="13"/>
      <c r="I90" s="13"/>
      <c r="J90" s="96"/>
      <c r="K90" s="125" t="s">
        <v>188</v>
      </c>
      <c r="L90" s="785"/>
      <c r="M90" s="64">
        <v>190</v>
      </c>
      <c r="N90" s="65"/>
      <c r="O90" s="64"/>
    </row>
    <row r="91" spans="1:15" x14ac:dyDescent="0.25">
      <c r="A91" s="782"/>
      <c r="B91" s="291" t="s">
        <v>184</v>
      </c>
      <c r="C91" s="124"/>
      <c r="D91" s="13">
        <v>30</v>
      </c>
      <c r="E91" s="13">
        <v>30</v>
      </c>
      <c r="F91" s="13"/>
      <c r="G91" s="13"/>
      <c r="H91" s="13"/>
      <c r="I91" s="13"/>
      <c r="J91" s="96"/>
      <c r="K91" s="125"/>
      <c r="L91" s="785"/>
      <c r="M91" s="64"/>
      <c r="N91" s="65"/>
      <c r="O91" s="64"/>
    </row>
    <row r="92" spans="1:15" x14ac:dyDescent="0.25">
      <c r="A92" s="782"/>
      <c r="B92" s="107" t="s">
        <v>120</v>
      </c>
      <c r="C92" s="124"/>
      <c r="D92" s="63">
        <v>32.4</v>
      </c>
      <c r="E92" s="63">
        <v>32.4</v>
      </c>
      <c r="F92" s="63">
        <v>0</v>
      </c>
      <c r="G92" s="63">
        <v>0</v>
      </c>
      <c r="H92" s="63">
        <v>0</v>
      </c>
      <c r="I92" s="63">
        <v>0</v>
      </c>
      <c r="J92" s="96">
        <v>0</v>
      </c>
      <c r="K92" s="125"/>
      <c r="L92" s="785"/>
      <c r="M92" s="64"/>
      <c r="N92" s="65">
        <v>0</v>
      </c>
      <c r="O92" s="68">
        <f>SUM(N92*D92)/1000</f>
        <v>0</v>
      </c>
    </row>
    <row r="93" spans="1:15" x14ac:dyDescent="0.25">
      <c r="A93" s="782"/>
      <c r="B93" s="107" t="s">
        <v>185</v>
      </c>
      <c r="C93" s="107"/>
      <c r="D93" s="63">
        <v>0.3</v>
      </c>
      <c r="E93" s="63">
        <v>0.3</v>
      </c>
      <c r="F93" s="63">
        <v>0.06</v>
      </c>
      <c r="G93" s="63">
        <v>0</v>
      </c>
      <c r="H93" s="63">
        <v>2.07E-2</v>
      </c>
      <c r="I93" s="63">
        <v>0.45540000000000003</v>
      </c>
      <c r="J93" s="96">
        <v>0.03</v>
      </c>
      <c r="K93" s="126"/>
      <c r="L93" s="785"/>
      <c r="M93" s="64"/>
      <c r="N93" s="114">
        <v>400</v>
      </c>
      <c r="O93" s="68">
        <f>SUM(N93*D93)/1000</f>
        <v>0.12</v>
      </c>
    </row>
    <row r="94" spans="1:15" x14ac:dyDescent="0.25">
      <c r="A94" s="782"/>
      <c r="B94" s="107" t="s">
        <v>49</v>
      </c>
      <c r="C94" s="107"/>
      <c r="D94" s="63">
        <v>10</v>
      </c>
      <c r="E94" s="63">
        <v>10</v>
      </c>
      <c r="F94" s="63">
        <v>0</v>
      </c>
      <c r="G94" s="63">
        <v>0</v>
      </c>
      <c r="H94" s="63">
        <v>9.98</v>
      </c>
      <c r="I94" s="63">
        <v>37.9</v>
      </c>
      <c r="J94" s="96">
        <v>0</v>
      </c>
      <c r="K94" s="126"/>
      <c r="L94" s="785"/>
      <c r="M94" s="64"/>
      <c r="N94" s="114">
        <v>50.7</v>
      </c>
      <c r="O94" s="68">
        <f>SUM(N94*D94)/1000</f>
        <v>0.50700000000000001</v>
      </c>
    </row>
    <row r="95" spans="1:15" x14ac:dyDescent="0.25">
      <c r="A95" s="782"/>
      <c r="B95" s="107" t="s">
        <v>19</v>
      </c>
      <c r="C95" s="107"/>
      <c r="D95" s="63">
        <v>150</v>
      </c>
      <c r="E95" s="63">
        <v>150</v>
      </c>
      <c r="F95" s="63">
        <v>0</v>
      </c>
      <c r="G95" s="63">
        <v>0</v>
      </c>
      <c r="H95" s="63">
        <v>0</v>
      </c>
      <c r="I95" s="63">
        <v>0</v>
      </c>
      <c r="J95" s="96">
        <v>0</v>
      </c>
      <c r="K95" s="126"/>
      <c r="L95" s="785"/>
      <c r="M95" s="64"/>
      <c r="N95" s="114">
        <v>0</v>
      </c>
      <c r="O95" s="68">
        <f>SUM(N95*D95)/1000</f>
        <v>0</v>
      </c>
    </row>
    <row r="96" spans="1:15" x14ac:dyDescent="0.25">
      <c r="A96" s="783"/>
      <c r="B96" s="107"/>
      <c r="C96" s="107"/>
      <c r="D96" s="63"/>
      <c r="E96" s="63"/>
      <c r="F96" s="267">
        <f>SUM(F92:F95)</f>
        <v>0.06</v>
      </c>
      <c r="G96" s="267">
        <f t="shared" ref="G96:J96" si="6">SUM(G92:G95)</f>
        <v>0</v>
      </c>
      <c r="H96" s="267">
        <f t="shared" si="6"/>
        <v>10.0007</v>
      </c>
      <c r="I96" s="267">
        <f t="shared" si="6"/>
        <v>38.355399999999996</v>
      </c>
      <c r="J96" s="267">
        <f t="shared" si="6"/>
        <v>0.03</v>
      </c>
      <c r="K96" s="120"/>
      <c r="L96" s="785"/>
      <c r="M96" s="64"/>
      <c r="N96" s="65"/>
      <c r="O96" s="72">
        <f>SUM(O91:O95)</f>
        <v>0.627</v>
      </c>
    </row>
    <row r="97" spans="1:15" hidden="1" x14ac:dyDescent="0.25">
      <c r="A97" s="781" t="s">
        <v>208</v>
      </c>
      <c r="B97" s="138"/>
      <c r="C97" s="147"/>
      <c r="D97" s="100"/>
      <c r="E97" s="100"/>
      <c r="F97" s="148"/>
      <c r="G97" s="148"/>
      <c r="H97" s="148"/>
      <c r="I97" s="148"/>
      <c r="J97" s="149"/>
      <c r="K97" s="132"/>
      <c r="L97" s="785"/>
      <c r="M97" s="64"/>
      <c r="N97" s="65"/>
      <c r="O97" s="67"/>
    </row>
    <row r="98" spans="1:15" x14ac:dyDescent="0.25">
      <c r="A98" s="782"/>
      <c r="B98" s="350" t="s">
        <v>338</v>
      </c>
      <c r="C98" s="339">
        <v>100</v>
      </c>
      <c r="D98" s="340">
        <v>100</v>
      </c>
      <c r="E98" s="340">
        <v>100</v>
      </c>
      <c r="F98" s="417">
        <v>0.4</v>
      </c>
      <c r="G98" s="417">
        <v>0.4</v>
      </c>
      <c r="H98" s="417">
        <v>9.8000000000000007</v>
      </c>
      <c r="I98" s="418">
        <v>47</v>
      </c>
      <c r="J98" s="419">
        <v>10</v>
      </c>
      <c r="K98" s="156" t="s">
        <v>73</v>
      </c>
      <c r="L98" s="785"/>
      <c r="M98" s="64">
        <v>100</v>
      </c>
      <c r="N98" s="65">
        <v>55.58</v>
      </c>
      <c r="O98" s="72">
        <v>5.5579999999999998</v>
      </c>
    </row>
    <row r="99" spans="1:15" x14ac:dyDescent="0.25">
      <c r="A99" s="783"/>
      <c r="B99" s="138" t="s">
        <v>57</v>
      </c>
      <c r="C99" s="150"/>
      <c r="D99" s="63"/>
      <c r="E99" s="13"/>
      <c r="F99" s="307">
        <f>SUM(F88,F89,F96:F98)</f>
        <v>8.08</v>
      </c>
      <c r="G99" s="307">
        <f t="shared" ref="G99:J99" si="7">SUM(G88,G89,G96:G98)</f>
        <v>5.3179999999999996</v>
      </c>
      <c r="H99" s="307">
        <f t="shared" si="7"/>
        <v>83.078699999999998</v>
      </c>
      <c r="I99" s="307">
        <f t="shared" si="7"/>
        <v>406.69739999999996</v>
      </c>
      <c r="J99" s="307">
        <f t="shared" si="7"/>
        <v>11.2</v>
      </c>
      <c r="K99" s="132"/>
      <c r="L99" s="786"/>
      <c r="M99" s="69">
        <f>SUM(M90:M98)</f>
        <v>290</v>
      </c>
      <c r="N99" s="65"/>
      <c r="O99" s="307" t="e">
        <f>SUM(#REF!,#REF!,O96:O98)</f>
        <v>#REF!</v>
      </c>
    </row>
    <row r="100" spans="1:15" x14ac:dyDescent="0.25">
      <c r="A100" s="5" t="s">
        <v>58</v>
      </c>
      <c r="B100" s="13"/>
      <c r="C100" s="4"/>
      <c r="D100" s="105"/>
      <c r="E100" s="106"/>
      <c r="F100" s="63"/>
      <c r="G100" s="63"/>
      <c r="H100" s="63"/>
      <c r="I100" s="63"/>
      <c r="J100" s="96"/>
      <c r="K100" s="108"/>
      <c r="L100" s="464"/>
      <c r="M100" s="64"/>
      <c r="N100" s="65"/>
      <c r="O100" s="64"/>
    </row>
    <row r="101" spans="1:15" ht="57.75" x14ac:dyDescent="0.25">
      <c r="A101" s="781"/>
      <c r="B101" s="351" t="s">
        <v>233</v>
      </c>
      <c r="C101" s="339">
        <v>200</v>
      </c>
      <c r="D101" s="352"/>
      <c r="E101" s="340"/>
      <c r="F101" s="341" t="s">
        <v>48</v>
      </c>
      <c r="G101" s="341" t="s">
        <v>48</v>
      </c>
      <c r="H101" s="341" t="s">
        <v>48</v>
      </c>
      <c r="I101" s="341" t="s">
        <v>48</v>
      </c>
      <c r="J101" s="341" t="s">
        <v>48</v>
      </c>
      <c r="K101" s="481" t="s">
        <v>234</v>
      </c>
      <c r="L101" s="784" t="s">
        <v>29</v>
      </c>
      <c r="M101" s="64">
        <v>200</v>
      </c>
      <c r="N101" s="65"/>
      <c r="O101" s="64"/>
    </row>
    <row r="102" spans="1:15" x14ac:dyDescent="0.25">
      <c r="A102" s="782"/>
      <c r="B102" s="353" t="s">
        <v>235</v>
      </c>
      <c r="C102" s="343"/>
      <c r="D102" s="340">
        <v>34</v>
      </c>
      <c r="E102" s="340">
        <v>27.3</v>
      </c>
      <c r="F102" s="340">
        <f>1.5*E102/100</f>
        <v>0.40950000000000003</v>
      </c>
      <c r="G102" s="340">
        <f>0.1*E102/100</f>
        <v>2.7300000000000005E-2</v>
      </c>
      <c r="H102" s="340">
        <f>8.8*E102/100</f>
        <v>2.4024000000000005</v>
      </c>
      <c r="I102" s="345">
        <f>42*E102/100</f>
        <v>11.466000000000001</v>
      </c>
      <c r="J102" s="346">
        <f>10*E102/100</f>
        <v>2.73</v>
      </c>
      <c r="K102" s="480"/>
      <c r="L102" s="785"/>
      <c r="M102" s="64"/>
      <c r="N102" s="114">
        <v>20.7</v>
      </c>
      <c r="O102" s="68">
        <f>SUM(N102*D102:D104)/1000</f>
        <v>0.70379999999999998</v>
      </c>
    </row>
    <row r="103" spans="1:15" ht="30" x14ac:dyDescent="0.25">
      <c r="A103" s="782"/>
      <c r="B103" s="353" t="s">
        <v>236</v>
      </c>
      <c r="C103" s="343"/>
      <c r="D103" s="340">
        <v>17.3</v>
      </c>
      <c r="E103" s="340">
        <v>14</v>
      </c>
      <c r="F103" s="340">
        <f>1.8*E103/100</f>
        <v>0.252</v>
      </c>
      <c r="G103" s="340">
        <f>0.1*E103/100</f>
        <v>1.4000000000000002E-2</v>
      </c>
      <c r="H103" s="340">
        <f>4.7*E103/100</f>
        <v>0.65799999999999992</v>
      </c>
      <c r="I103" s="345">
        <f>28*E103/100</f>
        <v>3.92</v>
      </c>
      <c r="J103" s="346">
        <f>45*E103/100</f>
        <v>6.3</v>
      </c>
      <c r="K103" s="480"/>
      <c r="L103" s="785"/>
      <c r="M103" s="64"/>
      <c r="N103" s="114">
        <v>21.89</v>
      </c>
      <c r="O103" s="68">
        <f t="shared" ref="O103:O113" si="8">SUM(N103*D103:D105)/1000</f>
        <v>0.37869700000000001</v>
      </c>
    </row>
    <row r="104" spans="1:15" x14ac:dyDescent="0.25">
      <c r="A104" s="782"/>
      <c r="B104" s="353" t="s">
        <v>237</v>
      </c>
      <c r="C104" s="343"/>
      <c r="D104" s="340">
        <v>31.3</v>
      </c>
      <c r="E104" s="340">
        <v>23.3</v>
      </c>
      <c r="F104" s="340">
        <f>2*E104/100</f>
        <v>0.46600000000000003</v>
      </c>
      <c r="G104" s="340">
        <f>0.4*E104/100</f>
        <v>9.3200000000000005E-2</v>
      </c>
      <c r="H104" s="340">
        <f>16.3*E104/100</f>
        <v>3.7979000000000003</v>
      </c>
      <c r="I104" s="345">
        <f>77*E104/100</f>
        <v>17.941000000000003</v>
      </c>
      <c r="J104" s="346">
        <f>20*E104/100</f>
        <v>4.66</v>
      </c>
      <c r="K104" s="480"/>
      <c r="L104" s="785"/>
      <c r="M104" s="64"/>
      <c r="N104" s="114">
        <v>38.5</v>
      </c>
      <c r="O104" s="68">
        <f t="shared" si="8"/>
        <v>1.20505</v>
      </c>
    </row>
    <row r="105" spans="1:15" x14ac:dyDescent="0.25">
      <c r="A105" s="782"/>
      <c r="B105" s="353" t="s">
        <v>238</v>
      </c>
      <c r="C105" s="343"/>
      <c r="D105" s="340">
        <v>13.3</v>
      </c>
      <c r="E105" s="340">
        <v>10</v>
      </c>
      <c r="F105" s="340">
        <f>1.3*E105/100</f>
        <v>0.13</v>
      </c>
      <c r="G105" s="340">
        <v>0</v>
      </c>
      <c r="H105" s="340">
        <f>6.9*E105/100</f>
        <v>0.69</v>
      </c>
      <c r="I105" s="345">
        <f>35*E105/100</f>
        <v>3.5</v>
      </c>
      <c r="J105" s="346">
        <f>5*E105/100</f>
        <v>0.5</v>
      </c>
      <c r="K105" s="480"/>
      <c r="L105" s="785"/>
      <c r="M105" s="64"/>
      <c r="N105" s="114">
        <v>21.98</v>
      </c>
      <c r="O105" s="68">
        <f t="shared" si="8"/>
        <v>0.29233399999999998</v>
      </c>
    </row>
    <row r="106" spans="1:15" x14ac:dyDescent="0.25">
      <c r="A106" s="782"/>
      <c r="B106" s="353" t="s">
        <v>239</v>
      </c>
      <c r="C106" s="354"/>
      <c r="D106" s="340">
        <v>10</v>
      </c>
      <c r="E106" s="340">
        <v>8</v>
      </c>
      <c r="F106" s="340">
        <f>1.4*E106/100</f>
        <v>0.11199999999999999</v>
      </c>
      <c r="G106" s="340">
        <v>0</v>
      </c>
      <c r="H106" s="340">
        <f>8.2*E106/100</f>
        <v>0.65599999999999992</v>
      </c>
      <c r="I106" s="345">
        <f>41*E106/100</f>
        <v>3.28</v>
      </c>
      <c r="J106" s="346">
        <f>10*E106/100</f>
        <v>0.8</v>
      </c>
      <c r="K106" s="480"/>
      <c r="L106" s="785"/>
      <c r="M106" s="64"/>
      <c r="N106" s="114">
        <v>120</v>
      </c>
      <c r="O106" s="68">
        <f t="shared" si="8"/>
        <v>1.2</v>
      </c>
    </row>
    <row r="107" spans="1:15" x14ac:dyDescent="0.25">
      <c r="A107" s="782"/>
      <c r="B107" s="353" t="s">
        <v>240</v>
      </c>
      <c r="C107" s="343"/>
      <c r="D107" s="340">
        <v>2.7</v>
      </c>
      <c r="E107" s="340">
        <v>2.7</v>
      </c>
      <c r="F107" s="340">
        <f>4.8*E107/100</f>
        <v>0.12960000000000002</v>
      </c>
      <c r="G107" s="340">
        <v>0</v>
      </c>
      <c r="H107" s="340">
        <f>19*E107/100</f>
        <v>0.51300000000000001</v>
      </c>
      <c r="I107" s="345">
        <f>102*E107/100</f>
        <v>2.7540000000000004</v>
      </c>
      <c r="J107" s="346">
        <f>45*E107/100</f>
        <v>1.2150000000000001</v>
      </c>
      <c r="K107" s="480"/>
      <c r="L107" s="785"/>
      <c r="M107" s="64"/>
      <c r="N107" s="114">
        <v>92.2</v>
      </c>
      <c r="O107" s="68">
        <f t="shared" si="8"/>
        <v>0.24894000000000002</v>
      </c>
    </row>
    <row r="108" spans="1:15" ht="30" x14ac:dyDescent="0.25">
      <c r="A108" s="782"/>
      <c r="B108" s="353" t="s">
        <v>241</v>
      </c>
      <c r="C108" s="343"/>
      <c r="D108" s="340">
        <v>4</v>
      </c>
      <c r="E108" s="340">
        <v>4</v>
      </c>
      <c r="F108" s="340">
        <v>0</v>
      </c>
      <c r="G108" s="340">
        <f>99.9*E108/100</f>
        <v>3.9960000000000004</v>
      </c>
      <c r="H108" s="355">
        <v>0</v>
      </c>
      <c r="I108" s="356">
        <f>899*E108/100</f>
        <v>35.96</v>
      </c>
      <c r="J108" s="346">
        <v>0</v>
      </c>
      <c r="K108" s="480"/>
      <c r="L108" s="785"/>
      <c r="M108" s="64"/>
      <c r="N108" s="114">
        <v>16.62</v>
      </c>
      <c r="O108" s="68">
        <f t="shared" si="8"/>
        <v>6.6479999999999997E-2</v>
      </c>
    </row>
    <row r="109" spans="1:15" x14ac:dyDescent="0.25">
      <c r="A109" s="782"/>
      <c r="B109" s="353" t="s">
        <v>230</v>
      </c>
      <c r="C109" s="339"/>
      <c r="D109" s="340">
        <v>2</v>
      </c>
      <c r="E109" s="340">
        <v>2</v>
      </c>
      <c r="F109" s="340">
        <v>0</v>
      </c>
      <c r="G109" s="340">
        <v>0</v>
      </c>
      <c r="H109" s="340">
        <v>15</v>
      </c>
      <c r="I109" s="340">
        <v>56.9</v>
      </c>
      <c r="J109" s="346">
        <v>0</v>
      </c>
      <c r="K109" s="480"/>
      <c r="L109" s="785"/>
      <c r="M109" s="64"/>
      <c r="N109" s="114">
        <v>0</v>
      </c>
      <c r="O109" s="68">
        <f>SUM(N109*D109:D113)/1000</f>
        <v>0</v>
      </c>
    </row>
    <row r="110" spans="1:15" x14ac:dyDescent="0.25">
      <c r="A110" s="782"/>
      <c r="B110" s="353" t="s">
        <v>231</v>
      </c>
      <c r="C110" s="354"/>
      <c r="D110" s="340">
        <v>1.2</v>
      </c>
      <c r="E110" s="340">
        <v>1.2</v>
      </c>
      <c r="F110" s="340">
        <v>0</v>
      </c>
      <c r="G110" s="340">
        <v>0</v>
      </c>
      <c r="H110" s="340">
        <v>0</v>
      </c>
      <c r="I110" s="345">
        <v>0</v>
      </c>
      <c r="J110" s="346">
        <v>0</v>
      </c>
      <c r="K110" s="480"/>
      <c r="L110" s="785"/>
      <c r="M110" s="64"/>
      <c r="N110" s="114">
        <v>450</v>
      </c>
      <c r="O110" s="68">
        <f>SUM(N110*D110:D114)/1000</f>
        <v>0.54</v>
      </c>
    </row>
    <row r="111" spans="1:15" x14ac:dyDescent="0.25">
      <c r="A111" s="782"/>
      <c r="B111" s="353" t="s">
        <v>242</v>
      </c>
      <c r="C111" s="354"/>
      <c r="D111" s="340">
        <v>7.0000000000000001E-3</v>
      </c>
      <c r="E111" s="340">
        <v>7.0000000000000001E-3</v>
      </c>
      <c r="F111" s="340">
        <v>0</v>
      </c>
      <c r="G111" s="340">
        <v>0</v>
      </c>
      <c r="H111" s="340">
        <v>0</v>
      </c>
      <c r="I111" s="345">
        <v>0</v>
      </c>
      <c r="J111" s="346">
        <v>0</v>
      </c>
      <c r="K111" s="480"/>
      <c r="L111" s="785"/>
      <c r="M111" s="64"/>
      <c r="N111" s="114"/>
      <c r="O111" s="68"/>
    </row>
    <row r="112" spans="1:15" x14ac:dyDescent="0.25">
      <c r="A112" s="782"/>
      <c r="B112" s="353" t="s">
        <v>243</v>
      </c>
      <c r="C112" s="354"/>
      <c r="D112" s="340">
        <v>160</v>
      </c>
      <c r="E112" s="340">
        <v>160</v>
      </c>
      <c r="F112" s="340">
        <v>0</v>
      </c>
      <c r="G112" s="340">
        <v>0</v>
      </c>
      <c r="H112" s="340">
        <v>0</v>
      </c>
      <c r="I112" s="345">
        <v>0</v>
      </c>
      <c r="J112" s="346">
        <v>0</v>
      </c>
      <c r="K112" s="480"/>
      <c r="L112" s="785"/>
      <c r="M112" s="64"/>
      <c r="N112" s="114"/>
      <c r="O112" s="68"/>
    </row>
    <row r="113" spans="1:15" x14ac:dyDescent="0.25">
      <c r="A113" s="782"/>
      <c r="B113" s="353" t="s">
        <v>244</v>
      </c>
      <c r="C113" s="354"/>
      <c r="D113" s="352">
        <v>4</v>
      </c>
      <c r="E113" s="357">
        <v>4</v>
      </c>
      <c r="F113" s="340">
        <f>2.5*E113/100</f>
        <v>0.1</v>
      </c>
      <c r="G113" s="340">
        <f>15*E113/100</f>
        <v>0.6</v>
      </c>
      <c r="H113" s="340">
        <f>3.4*E113/100</f>
        <v>0.13600000000000001</v>
      </c>
      <c r="I113" s="345">
        <f>206*E113/100</f>
        <v>8.24</v>
      </c>
      <c r="J113" s="346">
        <f>0.3*E113/100</f>
        <v>1.2E-2</v>
      </c>
      <c r="K113" s="480"/>
      <c r="L113" s="785"/>
      <c r="M113" s="64"/>
      <c r="N113" s="114">
        <v>153</v>
      </c>
      <c r="O113" s="68">
        <f t="shared" si="8"/>
        <v>0.61199999999999999</v>
      </c>
    </row>
    <row r="114" spans="1:15" x14ac:dyDescent="0.25">
      <c r="A114" s="782"/>
      <c r="B114" s="124"/>
      <c r="C114" s="124"/>
      <c r="D114" s="13"/>
      <c r="E114" s="13"/>
      <c r="F114" s="118">
        <f>SUM(F102:F113)</f>
        <v>1.5991</v>
      </c>
      <c r="G114" s="118">
        <f>SUM(G102:G113)</f>
        <v>4.7305000000000001</v>
      </c>
      <c r="H114" s="118">
        <f>SUM(H102:H113)</f>
        <v>23.853300000000001</v>
      </c>
      <c r="I114" s="118">
        <f>SUM(I102:I113)</f>
        <v>143.96100000000001</v>
      </c>
      <c r="J114" s="119">
        <f>SUM(J102:J113)</f>
        <v>16.217000000000002</v>
      </c>
      <c r="K114" s="120"/>
      <c r="L114" s="785"/>
      <c r="M114" s="64"/>
      <c r="N114" s="65"/>
      <c r="O114" s="72">
        <f>SUM(O102:O113)</f>
        <v>5.2473010000000002</v>
      </c>
    </row>
    <row r="115" spans="1:15" ht="22.5" customHeight="1" x14ac:dyDescent="0.25">
      <c r="A115" s="782"/>
      <c r="B115" s="319" t="s">
        <v>212</v>
      </c>
      <c r="C115" s="105" t="s">
        <v>224</v>
      </c>
      <c r="D115" s="13"/>
      <c r="E115" s="13"/>
      <c r="F115" s="13"/>
      <c r="G115" s="13"/>
      <c r="H115" s="13"/>
      <c r="I115" s="13"/>
      <c r="J115" s="96"/>
      <c r="K115" s="108" t="s">
        <v>213</v>
      </c>
      <c r="L115" s="785"/>
      <c r="M115" s="64">
        <v>75</v>
      </c>
      <c r="N115" s="65"/>
      <c r="O115" s="64"/>
    </row>
    <row r="116" spans="1:15" x14ac:dyDescent="0.25">
      <c r="A116" s="782"/>
      <c r="B116" s="107" t="s">
        <v>65</v>
      </c>
      <c r="C116" s="107"/>
      <c r="D116" s="63">
        <v>70</v>
      </c>
      <c r="E116" s="63">
        <v>51.62</v>
      </c>
      <c r="F116" s="63">
        <v>9.6010000000000009</v>
      </c>
      <c r="G116" s="63">
        <v>8.2590000000000003</v>
      </c>
      <c r="H116" s="63">
        <v>0</v>
      </c>
      <c r="I116" s="63">
        <v>112.73</v>
      </c>
      <c r="J116" s="96">
        <v>0</v>
      </c>
      <c r="K116" s="136"/>
      <c r="L116" s="785"/>
      <c r="M116" s="64"/>
      <c r="N116" s="114">
        <v>368.17</v>
      </c>
      <c r="O116" s="68">
        <f>SUM(N116*D116)/1000</f>
        <v>25.771900000000002</v>
      </c>
    </row>
    <row r="117" spans="1:15" x14ac:dyDescent="0.25">
      <c r="A117" s="782"/>
      <c r="B117" s="107" t="s">
        <v>40</v>
      </c>
      <c r="C117" s="107"/>
      <c r="D117" s="63">
        <v>12.3</v>
      </c>
      <c r="E117" s="63">
        <v>12.3</v>
      </c>
      <c r="F117" s="63">
        <v>0.94299999999999995</v>
      </c>
      <c r="G117" s="63">
        <v>0.36699999999999999</v>
      </c>
      <c r="H117" s="63">
        <v>6.1</v>
      </c>
      <c r="I117" s="63">
        <v>32.094999999999999</v>
      </c>
      <c r="J117" s="96">
        <v>0</v>
      </c>
      <c r="K117" s="152"/>
      <c r="L117" s="785"/>
      <c r="M117" s="64"/>
      <c r="N117" s="114">
        <v>35</v>
      </c>
      <c r="O117" s="68">
        <f t="shared" ref="O117:O123" si="9">SUM(N117*D117)/1000</f>
        <v>0.43049999999999999</v>
      </c>
    </row>
    <row r="118" spans="1:15" x14ac:dyDescent="0.25">
      <c r="A118" s="782"/>
      <c r="B118" s="107" t="s">
        <v>66</v>
      </c>
      <c r="C118" s="107"/>
      <c r="D118" s="63">
        <v>11.2</v>
      </c>
      <c r="E118" s="63">
        <v>11.2</v>
      </c>
      <c r="F118" s="63">
        <v>0.46500000000000002</v>
      </c>
      <c r="G118" s="63">
        <v>0.53100000000000003</v>
      </c>
      <c r="H118" s="63">
        <v>0.78100000000000003</v>
      </c>
      <c r="I118" s="63">
        <v>9.6389999999999993</v>
      </c>
      <c r="J118" s="96">
        <v>0.216</v>
      </c>
      <c r="K118" s="152"/>
      <c r="L118" s="785"/>
      <c r="M118" s="64"/>
      <c r="N118" s="114">
        <v>43.22</v>
      </c>
      <c r="O118" s="68">
        <f t="shared" si="9"/>
        <v>0.48406399999999994</v>
      </c>
    </row>
    <row r="119" spans="1:15" x14ac:dyDescent="0.25">
      <c r="A119" s="782"/>
      <c r="B119" s="107" t="s">
        <v>68</v>
      </c>
      <c r="C119" s="107"/>
      <c r="D119" s="63">
        <v>7</v>
      </c>
      <c r="E119" s="63">
        <v>7</v>
      </c>
      <c r="F119" s="63">
        <v>0</v>
      </c>
      <c r="G119" s="63">
        <v>0</v>
      </c>
      <c r="H119" s="63">
        <v>0</v>
      </c>
      <c r="I119" s="63">
        <v>0</v>
      </c>
      <c r="J119" s="96">
        <v>0</v>
      </c>
      <c r="K119" s="152"/>
      <c r="L119" s="785"/>
      <c r="M119" s="64"/>
      <c r="N119" s="114">
        <v>60.5</v>
      </c>
      <c r="O119" s="68">
        <f t="shared" si="9"/>
        <v>0.42349999999999999</v>
      </c>
    </row>
    <row r="120" spans="1:15" x14ac:dyDescent="0.25">
      <c r="A120" s="782"/>
      <c r="B120" s="107" t="s">
        <v>32</v>
      </c>
      <c r="C120" s="107"/>
      <c r="D120" s="63">
        <v>6</v>
      </c>
      <c r="E120" s="63">
        <v>5</v>
      </c>
      <c r="F120" s="340">
        <f>1.4*E120/100</f>
        <v>7.0000000000000007E-2</v>
      </c>
      <c r="G120" s="340">
        <v>0</v>
      </c>
      <c r="H120" s="340">
        <f>8.2*E120/100</f>
        <v>0.41</v>
      </c>
      <c r="I120" s="345">
        <f>41*E120/100</f>
        <v>2.0499999999999998</v>
      </c>
      <c r="J120" s="96"/>
      <c r="K120" s="152"/>
      <c r="L120" s="785"/>
      <c r="M120" s="64"/>
      <c r="N120" s="114">
        <v>0</v>
      </c>
      <c r="O120" s="68">
        <f t="shared" si="9"/>
        <v>0</v>
      </c>
    </row>
    <row r="121" spans="1:15" x14ac:dyDescent="0.25">
      <c r="A121" s="782"/>
      <c r="B121" s="107" t="s">
        <v>112</v>
      </c>
      <c r="C121" s="107"/>
      <c r="D121" s="63">
        <v>0.5</v>
      </c>
      <c r="E121" s="63">
        <v>0.5</v>
      </c>
      <c r="F121" s="63">
        <v>0</v>
      </c>
      <c r="G121" s="63">
        <v>0</v>
      </c>
      <c r="H121" s="63">
        <v>0</v>
      </c>
      <c r="I121" s="63">
        <v>0</v>
      </c>
      <c r="J121" s="96">
        <v>0</v>
      </c>
      <c r="K121" s="152"/>
      <c r="L121" s="785"/>
      <c r="M121" s="64"/>
      <c r="N121" s="114">
        <v>16.62</v>
      </c>
      <c r="O121" s="68">
        <f t="shared" si="9"/>
        <v>8.3099999999999997E-3</v>
      </c>
    </row>
    <row r="122" spans="1:15" x14ac:dyDescent="0.25">
      <c r="A122" s="782"/>
      <c r="B122" s="107" t="s">
        <v>21</v>
      </c>
      <c r="C122" s="107"/>
      <c r="D122" s="195">
        <v>4</v>
      </c>
      <c r="E122" s="63">
        <v>4</v>
      </c>
      <c r="F122" s="63">
        <v>3.2000000000000001E-2</v>
      </c>
      <c r="G122" s="63">
        <v>2.9</v>
      </c>
      <c r="H122" s="63">
        <v>5.1999999999999998E-2</v>
      </c>
      <c r="I122" s="63">
        <v>26.44</v>
      </c>
      <c r="J122" s="96">
        <v>0</v>
      </c>
      <c r="K122" s="152"/>
      <c r="L122" s="785"/>
      <c r="M122" s="64"/>
      <c r="N122" s="114">
        <v>376.98</v>
      </c>
      <c r="O122" s="68">
        <f t="shared" si="9"/>
        <v>1.5079200000000001</v>
      </c>
    </row>
    <row r="123" spans="1:15" x14ac:dyDescent="0.25">
      <c r="A123" s="782"/>
      <c r="B123" s="107" t="s">
        <v>21</v>
      </c>
      <c r="C123" s="107"/>
      <c r="D123" s="195">
        <v>5</v>
      </c>
      <c r="E123" s="63">
        <v>5</v>
      </c>
      <c r="F123" s="63">
        <v>0.04</v>
      </c>
      <c r="G123" s="63">
        <v>3.625</v>
      </c>
      <c r="H123" s="63">
        <v>6.5000000000000002E-2</v>
      </c>
      <c r="I123" s="63">
        <v>33.049999999999997</v>
      </c>
      <c r="J123" s="96">
        <v>0</v>
      </c>
      <c r="K123" s="152"/>
      <c r="L123" s="785"/>
      <c r="M123" s="64"/>
      <c r="N123" s="114">
        <v>376.98</v>
      </c>
      <c r="O123" s="68">
        <f t="shared" si="9"/>
        <v>1.8849</v>
      </c>
    </row>
    <row r="124" spans="1:15" x14ac:dyDescent="0.25">
      <c r="A124" s="782"/>
      <c r="B124" s="107"/>
      <c r="C124" s="107"/>
      <c r="D124" s="63"/>
      <c r="E124" s="63"/>
      <c r="F124" s="118">
        <f>SUM(F116:F123)</f>
        <v>11.151</v>
      </c>
      <c r="G124" s="118">
        <f>SUM(G116:G123)</f>
        <v>15.682000000000002</v>
      </c>
      <c r="H124" s="118">
        <f>SUM(H116:H123)</f>
        <v>7.4079999999999995</v>
      </c>
      <c r="I124" s="118">
        <f>SUM(I116:I123)</f>
        <v>216.00400000000002</v>
      </c>
      <c r="J124" s="118">
        <f>SUM(J116:J123)</f>
        <v>0.216</v>
      </c>
      <c r="K124" s="153"/>
      <c r="L124" s="785"/>
      <c r="M124" s="64"/>
      <c r="N124" s="65"/>
      <c r="O124" s="72">
        <f>SUM(O116:O123)</f>
        <v>30.511094</v>
      </c>
    </row>
    <row r="125" spans="1:15" ht="30" x14ac:dyDescent="0.25">
      <c r="A125" s="782"/>
      <c r="B125" s="435" t="s">
        <v>143</v>
      </c>
      <c r="C125" s="124">
        <v>120</v>
      </c>
      <c r="D125" s="13"/>
      <c r="E125" s="13"/>
      <c r="F125" s="63"/>
      <c r="G125" s="63"/>
      <c r="H125" s="63"/>
      <c r="I125" s="63"/>
      <c r="J125" s="96"/>
      <c r="K125" s="125" t="s">
        <v>312</v>
      </c>
      <c r="L125" s="785"/>
      <c r="M125" s="64">
        <v>155</v>
      </c>
      <c r="N125" s="65"/>
      <c r="O125" s="64"/>
    </row>
    <row r="126" spans="1:15" x14ac:dyDescent="0.25">
      <c r="A126" s="782"/>
      <c r="B126" s="96" t="s">
        <v>144</v>
      </c>
      <c r="C126" s="96"/>
      <c r="D126" s="63">
        <v>40</v>
      </c>
      <c r="E126" s="63">
        <v>40</v>
      </c>
      <c r="F126" s="102">
        <v>7.28</v>
      </c>
      <c r="G126" s="63">
        <v>0.77</v>
      </c>
      <c r="H126" s="63">
        <v>48.79</v>
      </c>
      <c r="I126" s="63">
        <v>235.9</v>
      </c>
      <c r="J126" s="96">
        <v>0</v>
      </c>
      <c r="K126" s="125"/>
      <c r="L126" s="785"/>
      <c r="M126" s="64"/>
      <c r="N126" s="114">
        <v>46.18</v>
      </c>
      <c r="O126" s="68">
        <f>SUM(N126*D126)/1000</f>
        <v>1.8472</v>
      </c>
    </row>
    <row r="127" spans="1:15" x14ac:dyDescent="0.25">
      <c r="A127" s="782"/>
      <c r="B127" s="96" t="s">
        <v>112</v>
      </c>
      <c r="C127" s="96"/>
      <c r="D127" s="63">
        <v>2</v>
      </c>
      <c r="E127" s="63">
        <v>2</v>
      </c>
      <c r="F127" s="102">
        <v>0</v>
      </c>
      <c r="G127" s="63">
        <v>0</v>
      </c>
      <c r="H127" s="63">
        <v>0</v>
      </c>
      <c r="I127" s="63">
        <v>0</v>
      </c>
      <c r="J127" s="96">
        <v>0</v>
      </c>
      <c r="K127" s="125"/>
      <c r="L127" s="785"/>
      <c r="M127" s="64"/>
      <c r="N127" s="114">
        <v>16.62</v>
      </c>
      <c r="O127" s="68">
        <f>SUM(N127*D127)/1000</f>
        <v>3.3239999999999999E-2</v>
      </c>
    </row>
    <row r="128" spans="1:15" ht="30" x14ac:dyDescent="0.25">
      <c r="A128" s="782"/>
      <c r="B128" s="116" t="s">
        <v>121</v>
      </c>
      <c r="C128" s="107"/>
      <c r="D128" s="141" t="s">
        <v>35</v>
      </c>
      <c r="E128" s="141">
        <v>114.5</v>
      </c>
      <c r="F128" s="63">
        <v>0</v>
      </c>
      <c r="G128" s="63">
        <v>0</v>
      </c>
      <c r="H128" s="102">
        <v>0</v>
      </c>
      <c r="I128" s="63">
        <v>0</v>
      </c>
      <c r="J128" s="96">
        <v>0</v>
      </c>
      <c r="K128" s="125"/>
      <c r="L128" s="785"/>
      <c r="M128" s="64"/>
      <c r="N128" s="114"/>
      <c r="O128" s="68"/>
    </row>
    <row r="129" spans="1:15" x14ac:dyDescent="0.25">
      <c r="A129" s="782"/>
      <c r="B129" s="101" t="s">
        <v>21</v>
      </c>
      <c r="C129" s="107"/>
      <c r="D129" s="63">
        <v>5</v>
      </c>
      <c r="E129" s="63">
        <v>5</v>
      </c>
      <c r="F129" s="99">
        <v>0.04</v>
      </c>
      <c r="G129" s="100">
        <v>3.625</v>
      </c>
      <c r="H129" s="63">
        <v>6.5000000000000002E-2</v>
      </c>
      <c r="I129" s="63">
        <v>33.049999999999997</v>
      </c>
      <c r="J129" s="96">
        <v>0</v>
      </c>
      <c r="K129" s="126"/>
      <c r="L129" s="785"/>
      <c r="M129" s="64"/>
      <c r="N129" s="114">
        <v>376.98</v>
      </c>
      <c r="O129" s="68">
        <f>SUM(N129*D129)/1000</f>
        <v>1.8849</v>
      </c>
    </row>
    <row r="130" spans="1:15" x14ac:dyDescent="0.25">
      <c r="A130" s="782"/>
      <c r="B130" s="116"/>
      <c r="C130" s="107"/>
      <c r="D130" s="63"/>
      <c r="E130" s="63"/>
      <c r="F130" s="118">
        <f>SUM(F126:F129)</f>
        <v>7.32</v>
      </c>
      <c r="G130" s="118">
        <f>SUM(G126:G129)</f>
        <v>4.3949999999999996</v>
      </c>
      <c r="H130" s="118">
        <f>SUM(H126:H129)</f>
        <v>48.854999999999997</v>
      </c>
      <c r="I130" s="118">
        <f>SUM(I126:I129)</f>
        <v>268.95</v>
      </c>
      <c r="J130" s="119">
        <f>SUM(J126:J129)</f>
        <v>0</v>
      </c>
      <c r="K130" s="156"/>
      <c r="L130" s="785"/>
      <c r="M130" s="64"/>
      <c r="N130" s="65"/>
      <c r="O130" s="72">
        <f>SUM(O126:O129)</f>
        <v>3.7653400000000001</v>
      </c>
    </row>
    <row r="131" spans="1:15" x14ac:dyDescent="0.25">
      <c r="A131" s="782"/>
      <c r="B131" s="361" t="s">
        <v>245</v>
      </c>
      <c r="C131" s="339">
        <v>50</v>
      </c>
      <c r="D131" s="358"/>
      <c r="E131" s="340"/>
      <c r="F131" s="417">
        <f>F132+F133+F134+F135+F136+F137+F138+F139+F140</f>
        <v>0.41950000000000004</v>
      </c>
      <c r="G131" s="417">
        <f t="shared" ref="G131:J131" si="10">G132+G133+G134+G135+G136+G137+G138+G139+G140</f>
        <v>1.0325000000000002</v>
      </c>
      <c r="H131" s="417">
        <f t="shared" si="10"/>
        <v>3.2115</v>
      </c>
      <c r="I131" s="417">
        <f t="shared" si="10"/>
        <v>24.032499999999999</v>
      </c>
      <c r="J131" s="417">
        <f t="shared" si="10"/>
        <v>1.2000000000000002</v>
      </c>
      <c r="K131" s="482" t="s">
        <v>248</v>
      </c>
      <c r="L131" s="785"/>
      <c r="M131" s="64"/>
      <c r="N131" s="65"/>
      <c r="O131" s="325"/>
    </row>
    <row r="132" spans="1:15" x14ac:dyDescent="0.25">
      <c r="A132" s="782"/>
      <c r="B132" s="353" t="s">
        <v>246</v>
      </c>
      <c r="C132" s="343"/>
      <c r="D132" s="359">
        <v>50</v>
      </c>
      <c r="E132" s="359">
        <v>50</v>
      </c>
      <c r="F132" s="340">
        <v>0</v>
      </c>
      <c r="G132" s="340">
        <v>0</v>
      </c>
      <c r="H132" s="340">
        <v>0</v>
      </c>
      <c r="I132" s="345">
        <v>0</v>
      </c>
      <c r="J132" s="346">
        <v>0</v>
      </c>
      <c r="K132" s="483"/>
      <c r="L132" s="785"/>
      <c r="M132" s="64"/>
      <c r="N132" s="65"/>
      <c r="O132" s="325"/>
    </row>
    <row r="133" spans="1:15" ht="30" x14ac:dyDescent="0.25">
      <c r="A133" s="782"/>
      <c r="B133" s="353" t="s">
        <v>241</v>
      </c>
      <c r="C133" s="343"/>
      <c r="D133" s="359">
        <v>1</v>
      </c>
      <c r="E133" s="359">
        <v>1</v>
      </c>
      <c r="F133" s="340">
        <v>0</v>
      </c>
      <c r="G133" s="340">
        <f>99.9*E133/100</f>
        <v>0.99900000000000011</v>
      </c>
      <c r="H133" s="355">
        <v>0</v>
      </c>
      <c r="I133" s="356">
        <f>899*E133/100</f>
        <v>8.99</v>
      </c>
      <c r="J133" s="346">
        <v>0</v>
      </c>
      <c r="K133" s="480"/>
      <c r="L133" s="785"/>
      <c r="M133" s="64"/>
      <c r="N133" s="65"/>
      <c r="O133" s="325"/>
    </row>
    <row r="134" spans="1:15" x14ac:dyDescent="0.25">
      <c r="A134" s="782"/>
      <c r="B134" s="353" t="s">
        <v>247</v>
      </c>
      <c r="C134" s="354"/>
      <c r="D134" s="359">
        <v>2.5</v>
      </c>
      <c r="E134" s="359">
        <v>2.5</v>
      </c>
      <c r="F134" s="340">
        <f>10.3*E134/100</f>
        <v>0.25750000000000001</v>
      </c>
      <c r="G134" s="340">
        <f>1.1*E134/100</f>
        <v>2.75E-2</v>
      </c>
      <c r="H134" s="340">
        <f>69*E134/100</f>
        <v>1.7250000000000001</v>
      </c>
      <c r="I134" s="345">
        <f>334*E134/100</f>
        <v>8.35</v>
      </c>
      <c r="J134" s="346">
        <v>0</v>
      </c>
      <c r="K134" s="480"/>
      <c r="L134" s="785"/>
      <c r="M134" s="64"/>
      <c r="N134" s="65"/>
      <c r="O134" s="325"/>
    </row>
    <row r="135" spans="1:15" x14ac:dyDescent="0.25">
      <c r="A135" s="782"/>
      <c r="B135" s="353" t="s">
        <v>240</v>
      </c>
      <c r="C135" s="343"/>
      <c r="D135" s="359">
        <v>2</v>
      </c>
      <c r="E135" s="359">
        <v>2</v>
      </c>
      <c r="F135" s="340">
        <f>4.8*E135/100</f>
        <v>9.6000000000000002E-2</v>
      </c>
      <c r="G135" s="340">
        <v>0</v>
      </c>
      <c r="H135" s="340">
        <f>19*E135/100</f>
        <v>0.38</v>
      </c>
      <c r="I135" s="345">
        <f>102*E135/100</f>
        <v>2.04</v>
      </c>
      <c r="J135" s="346">
        <f>45*E135/100</f>
        <v>0.9</v>
      </c>
      <c r="K135" s="480"/>
      <c r="L135" s="785"/>
      <c r="M135" s="64"/>
      <c r="N135" s="65"/>
      <c r="O135" s="325"/>
    </row>
    <row r="136" spans="1:15" x14ac:dyDescent="0.25">
      <c r="A136" s="782"/>
      <c r="B136" s="353" t="s">
        <v>238</v>
      </c>
      <c r="C136" s="343"/>
      <c r="D136" s="359">
        <v>5</v>
      </c>
      <c r="E136" s="359">
        <v>4</v>
      </c>
      <c r="F136" s="340">
        <f>1.3*E136/100</f>
        <v>5.2000000000000005E-2</v>
      </c>
      <c r="G136" s="340">
        <f>0.1*E136/100</f>
        <v>4.0000000000000001E-3</v>
      </c>
      <c r="H136" s="355">
        <f>6.9*E136/100</f>
        <v>0.27600000000000002</v>
      </c>
      <c r="I136" s="356">
        <f>35*E136/100</f>
        <v>1.4</v>
      </c>
      <c r="J136" s="346">
        <f>5*E136/100</f>
        <v>0.2</v>
      </c>
      <c r="K136" s="480"/>
      <c r="L136" s="785"/>
      <c r="M136" s="64"/>
      <c r="N136" s="65"/>
      <c r="O136" s="325"/>
    </row>
    <row r="137" spans="1:15" x14ac:dyDescent="0.25">
      <c r="A137" s="782"/>
      <c r="B137" s="353" t="s">
        <v>239</v>
      </c>
      <c r="C137" s="343"/>
      <c r="D137" s="359">
        <v>1.2</v>
      </c>
      <c r="E137" s="359">
        <v>1</v>
      </c>
      <c r="F137" s="340">
        <f>1.4*E137/100</f>
        <v>1.3999999999999999E-2</v>
      </c>
      <c r="G137" s="340">
        <f>0.2*E137/100</f>
        <v>2E-3</v>
      </c>
      <c r="H137" s="355">
        <f>8.2*E137/100</f>
        <v>8.199999999999999E-2</v>
      </c>
      <c r="I137" s="356">
        <f>41*E137/100</f>
        <v>0.41</v>
      </c>
      <c r="J137" s="346">
        <f>10*E137/100</f>
        <v>0.1</v>
      </c>
      <c r="K137" s="480"/>
      <c r="L137" s="785"/>
      <c r="M137" s="64"/>
      <c r="N137" s="65"/>
      <c r="O137" s="325"/>
    </row>
    <row r="138" spans="1:15" x14ac:dyDescent="0.25">
      <c r="A138" s="782"/>
      <c r="B138" s="353" t="s">
        <v>230</v>
      </c>
      <c r="C138" s="343"/>
      <c r="D138" s="359">
        <v>0.75</v>
      </c>
      <c r="E138" s="359">
        <v>0.75</v>
      </c>
      <c r="F138" s="340">
        <v>0</v>
      </c>
      <c r="G138" s="340">
        <v>0</v>
      </c>
      <c r="H138" s="340">
        <f>99.8*E138/100</f>
        <v>0.74849999999999994</v>
      </c>
      <c r="I138" s="345">
        <f>379*E138/100</f>
        <v>2.8424999999999998</v>
      </c>
      <c r="J138" s="346">
        <v>0</v>
      </c>
      <c r="K138" s="480"/>
      <c r="L138" s="785"/>
      <c r="M138" s="64"/>
      <c r="N138" s="65"/>
      <c r="O138" s="325"/>
    </row>
    <row r="139" spans="1:15" x14ac:dyDescent="0.25">
      <c r="A139" s="782"/>
      <c r="B139" s="353" t="s">
        <v>231</v>
      </c>
      <c r="C139" s="343"/>
      <c r="D139" s="359">
        <v>0.5</v>
      </c>
      <c r="E139" s="359">
        <v>0.5</v>
      </c>
      <c r="F139" s="340">
        <v>0</v>
      </c>
      <c r="G139" s="340">
        <v>0</v>
      </c>
      <c r="H139" s="340">
        <v>0</v>
      </c>
      <c r="I139" s="345">
        <v>0</v>
      </c>
      <c r="J139" s="346">
        <v>0</v>
      </c>
      <c r="K139" s="480"/>
      <c r="L139" s="785"/>
      <c r="M139" s="64"/>
      <c r="N139" s="65"/>
      <c r="O139" s="325"/>
    </row>
    <row r="140" spans="1:15" x14ac:dyDescent="0.25">
      <c r="A140" s="782"/>
      <c r="B140" s="342" t="s">
        <v>242</v>
      </c>
      <c r="C140" s="343"/>
      <c r="D140" s="360">
        <v>0.02</v>
      </c>
      <c r="E140" s="360">
        <v>0.02</v>
      </c>
      <c r="F140" s="340">
        <v>0</v>
      </c>
      <c r="G140" s="340">
        <v>0</v>
      </c>
      <c r="H140" s="340">
        <v>0</v>
      </c>
      <c r="I140" s="345">
        <v>0</v>
      </c>
      <c r="J140" s="346">
        <v>0</v>
      </c>
      <c r="K140" s="480"/>
      <c r="L140" s="785"/>
      <c r="M140" s="64"/>
      <c r="N140" s="65"/>
      <c r="O140" s="325"/>
    </row>
    <row r="141" spans="1:15" ht="30" x14ac:dyDescent="0.25">
      <c r="A141" s="782"/>
      <c r="B141" s="138" t="s">
        <v>180</v>
      </c>
      <c r="C141" s="124">
        <v>180</v>
      </c>
      <c r="D141" s="13"/>
      <c r="E141" s="13"/>
      <c r="F141" s="63"/>
      <c r="G141" s="63"/>
      <c r="H141" s="63"/>
      <c r="I141" s="63"/>
      <c r="J141" s="96"/>
      <c r="K141" s="108" t="s">
        <v>181</v>
      </c>
      <c r="L141" s="785"/>
      <c r="M141" s="65">
        <v>180</v>
      </c>
      <c r="N141" s="65"/>
      <c r="O141" s="64"/>
    </row>
    <row r="142" spans="1:15" ht="16.5" customHeight="1" x14ac:dyDescent="0.25">
      <c r="A142" s="782"/>
      <c r="B142" s="107" t="s">
        <v>182</v>
      </c>
      <c r="C142" s="107"/>
      <c r="D142" s="63">
        <v>18</v>
      </c>
      <c r="E142" s="63" t="s">
        <v>183</v>
      </c>
      <c r="F142" s="63">
        <v>0.93600000000000005</v>
      </c>
      <c r="G142" s="63">
        <v>5.3999999999999999E-2</v>
      </c>
      <c r="H142" s="63">
        <v>9.18</v>
      </c>
      <c r="I142" s="63">
        <v>41.76</v>
      </c>
      <c r="J142" s="96">
        <v>0.72</v>
      </c>
      <c r="K142" s="136"/>
      <c r="L142" s="785"/>
      <c r="M142" s="64"/>
      <c r="N142" s="114">
        <v>100</v>
      </c>
      <c r="O142" s="76">
        <f>SUM(N142*D142)/1000</f>
        <v>1.8</v>
      </c>
    </row>
    <row r="143" spans="1:15" x14ac:dyDescent="0.25">
      <c r="A143" s="782"/>
      <c r="B143" s="107" t="s">
        <v>38</v>
      </c>
      <c r="C143" s="107"/>
      <c r="D143" s="63">
        <v>14.4</v>
      </c>
      <c r="E143" s="63">
        <v>14.4</v>
      </c>
      <c r="F143" s="63">
        <v>0</v>
      </c>
      <c r="G143" s="63">
        <v>0</v>
      </c>
      <c r="H143" s="63">
        <v>14.371</v>
      </c>
      <c r="I143" s="63">
        <v>54.576000000000001</v>
      </c>
      <c r="J143" s="96">
        <v>0</v>
      </c>
      <c r="K143" s="136"/>
      <c r="L143" s="785"/>
      <c r="M143" s="64"/>
      <c r="N143" s="114">
        <v>50.7</v>
      </c>
      <c r="O143" s="68">
        <f>SUM(N143*D143)/1000</f>
        <v>0.73008000000000006</v>
      </c>
    </row>
    <row r="144" spans="1:15" x14ac:dyDescent="0.25">
      <c r="A144" s="782"/>
      <c r="B144" s="107" t="s">
        <v>19</v>
      </c>
      <c r="C144" s="107"/>
      <c r="D144" s="63">
        <v>182.7</v>
      </c>
      <c r="E144" s="63">
        <v>182.7</v>
      </c>
      <c r="F144" s="63">
        <v>0</v>
      </c>
      <c r="G144" s="63">
        <v>0</v>
      </c>
      <c r="H144" s="63">
        <v>0</v>
      </c>
      <c r="I144" s="63">
        <v>0</v>
      </c>
      <c r="J144" s="96">
        <v>0</v>
      </c>
      <c r="K144" s="136"/>
      <c r="L144" s="785"/>
      <c r="M144" s="64"/>
      <c r="N144" s="114">
        <v>0</v>
      </c>
      <c r="O144" s="64">
        <f>SUM(N144*D144)/1000</f>
        <v>0</v>
      </c>
    </row>
    <row r="145" spans="1:15" x14ac:dyDescent="0.25">
      <c r="A145" s="782"/>
      <c r="B145" s="157"/>
      <c r="C145" s="157"/>
      <c r="D145" s="51"/>
      <c r="E145" s="51"/>
      <c r="F145" s="118">
        <f>SUM(F142:F144)</f>
        <v>0.93600000000000005</v>
      </c>
      <c r="G145" s="118">
        <f t="shared" ref="G145:J145" si="11">SUM(G142:G144)</f>
        <v>5.3999999999999999E-2</v>
      </c>
      <c r="H145" s="118">
        <f t="shared" si="11"/>
        <v>23.551000000000002</v>
      </c>
      <c r="I145" s="118">
        <f t="shared" si="11"/>
        <v>96.335999999999999</v>
      </c>
      <c r="J145" s="118">
        <f t="shared" si="11"/>
        <v>0.72</v>
      </c>
      <c r="K145" s="153"/>
      <c r="L145" s="785"/>
      <c r="M145" s="64"/>
      <c r="N145" s="47"/>
      <c r="O145" s="72">
        <f>SUM(O142:O144)</f>
        <v>2.5300799999999999</v>
      </c>
    </row>
    <row r="146" spans="1:15" ht="30" x14ac:dyDescent="0.25">
      <c r="A146" s="782"/>
      <c r="B146" s="435" t="s">
        <v>324</v>
      </c>
      <c r="C146" s="124">
        <v>70</v>
      </c>
      <c r="D146" s="63">
        <v>70</v>
      </c>
      <c r="E146" s="63">
        <v>70</v>
      </c>
      <c r="F146" s="118">
        <v>3.85</v>
      </c>
      <c r="G146" s="118">
        <v>1.5</v>
      </c>
      <c r="H146" s="118">
        <v>24.9</v>
      </c>
      <c r="I146" s="118">
        <v>131</v>
      </c>
      <c r="J146" s="139">
        <v>0</v>
      </c>
      <c r="K146" s="156" t="s">
        <v>73</v>
      </c>
      <c r="L146" s="785"/>
      <c r="M146" s="64">
        <v>40</v>
      </c>
      <c r="N146" s="114">
        <v>35</v>
      </c>
      <c r="O146" s="72">
        <f>SUM(N146*D146)/1000</f>
        <v>2.4500000000000002</v>
      </c>
    </row>
    <row r="147" spans="1:15" x14ac:dyDescent="0.25">
      <c r="A147" s="783"/>
      <c r="B147" s="124" t="s">
        <v>74</v>
      </c>
      <c r="C147" s="124"/>
      <c r="D147" s="13"/>
      <c r="E147" s="13"/>
      <c r="F147" s="265">
        <f>SUM(F114,F124,F130,F145,F146:F146,F131)</f>
        <v>25.275600000000001</v>
      </c>
      <c r="G147" s="265">
        <f>SUM(G114,G124,G130,G145,G146:G146,G131)</f>
        <v>27.393999999999998</v>
      </c>
      <c r="H147" s="265">
        <f>SUM(H114,H124,H130,H145,H146:H146,H131)</f>
        <v>131.77879999999999</v>
      </c>
      <c r="I147" s="265">
        <f>SUM(I114,I124,I130,I145,I146:I146,I131)</f>
        <v>880.2835</v>
      </c>
      <c r="J147" s="265">
        <f>SUM(J114,J124,J130,J145,J146:J146,J131)</f>
        <v>18.353000000000002</v>
      </c>
      <c r="K147" s="158"/>
      <c r="L147" s="786"/>
      <c r="M147" s="69">
        <f>SUM(M101:M146)</f>
        <v>650</v>
      </c>
      <c r="N147" s="65"/>
      <c r="O147" s="71">
        <f>SUM(O114,O124,O130,O145:O146)</f>
        <v>44.503815000000003</v>
      </c>
    </row>
    <row r="148" spans="1:15" x14ac:dyDescent="0.25">
      <c r="A148" s="5" t="s">
        <v>75</v>
      </c>
      <c r="B148" s="13"/>
      <c r="C148" s="13"/>
      <c r="D148" s="105"/>
      <c r="E148" s="106"/>
      <c r="F148" s="63"/>
      <c r="G148" s="63"/>
      <c r="H148" s="63"/>
      <c r="I148" s="63"/>
      <c r="J148" s="96"/>
      <c r="K148" s="125"/>
      <c r="L148" s="464"/>
      <c r="M148" s="64"/>
      <c r="N148" s="65"/>
      <c r="O148" s="64"/>
    </row>
    <row r="149" spans="1:15" x14ac:dyDescent="0.25">
      <c r="A149" s="781"/>
      <c r="B149" s="375" t="s">
        <v>346</v>
      </c>
      <c r="C149" s="254">
        <v>125</v>
      </c>
      <c r="D149" s="187"/>
      <c r="E149" s="189"/>
      <c r="F149" s="130">
        <f>SUM(F150:F159)</f>
        <v>5.8059999999999992</v>
      </c>
      <c r="G149" s="130">
        <f t="shared" ref="G149:J149" si="12">SUM(G150:G159)</f>
        <v>7.1549999999999994</v>
      </c>
      <c r="H149" s="130">
        <f t="shared" si="12"/>
        <v>33.526000000000003</v>
      </c>
      <c r="I149" s="130">
        <f t="shared" si="12"/>
        <v>218.79599999999999</v>
      </c>
      <c r="J149" s="130">
        <f t="shared" si="12"/>
        <v>0.23199999999999998</v>
      </c>
      <c r="K149" s="236" t="s">
        <v>347</v>
      </c>
      <c r="L149" s="814" t="s">
        <v>43</v>
      </c>
      <c r="M149" s="366">
        <v>130</v>
      </c>
      <c r="N149" s="365"/>
      <c r="O149" s="366"/>
    </row>
    <row r="150" spans="1:15" x14ac:dyDescent="0.25">
      <c r="A150" s="782"/>
      <c r="B150" s="376" t="s">
        <v>203</v>
      </c>
      <c r="C150" s="376"/>
      <c r="D150" s="187">
        <v>76</v>
      </c>
      <c r="E150" s="187">
        <v>75</v>
      </c>
      <c r="F150" s="297">
        <v>4</v>
      </c>
      <c r="G150" s="297">
        <v>2.16</v>
      </c>
      <c r="H150" s="297">
        <v>0.48</v>
      </c>
      <c r="I150" s="297">
        <v>37.270000000000003</v>
      </c>
      <c r="J150" s="298">
        <v>0.12</v>
      </c>
      <c r="K150" s="236"/>
      <c r="L150" s="815"/>
      <c r="M150" s="366"/>
      <c r="N150" s="365"/>
      <c r="O150" s="366"/>
    </row>
    <row r="151" spans="1:15" x14ac:dyDescent="0.25">
      <c r="A151" s="782"/>
      <c r="B151" s="403" t="s">
        <v>227</v>
      </c>
      <c r="C151" s="499"/>
      <c r="D151" s="352">
        <v>8</v>
      </c>
      <c r="E151" s="352">
        <v>8</v>
      </c>
      <c r="F151" s="354">
        <f>10.3*E151/100</f>
        <v>0.82400000000000007</v>
      </c>
      <c r="G151" s="354">
        <f>1*E151/100</f>
        <v>0.08</v>
      </c>
      <c r="H151" s="509">
        <f>67.9*E151/100</f>
        <v>5.4320000000000004</v>
      </c>
      <c r="I151" s="510">
        <f>328*E151/100</f>
        <v>26.24</v>
      </c>
      <c r="J151" s="511">
        <v>0</v>
      </c>
      <c r="K151" s="236"/>
      <c r="L151" s="815"/>
      <c r="M151" s="366"/>
      <c r="N151" s="365"/>
      <c r="O151" s="366"/>
    </row>
    <row r="152" spans="1:15" x14ac:dyDescent="0.25">
      <c r="A152" s="782"/>
      <c r="B152" s="376" t="s">
        <v>112</v>
      </c>
      <c r="C152" s="376"/>
      <c r="D152" s="187">
        <v>0.25</v>
      </c>
      <c r="E152" s="187">
        <v>0.25</v>
      </c>
      <c r="F152" s="297">
        <v>0.04</v>
      </c>
      <c r="G152" s="297">
        <v>0</v>
      </c>
      <c r="H152" s="297">
        <v>6.5</v>
      </c>
      <c r="I152" s="297">
        <v>25</v>
      </c>
      <c r="J152" s="298">
        <v>0.05</v>
      </c>
      <c r="K152" s="236"/>
      <c r="L152" s="815"/>
      <c r="M152" s="366"/>
      <c r="N152" s="365"/>
      <c r="O152" s="366"/>
    </row>
    <row r="153" spans="1:15" x14ac:dyDescent="0.25">
      <c r="A153" s="782"/>
      <c r="B153" s="107" t="s">
        <v>38</v>
      </c>
      <c r="C153" s="107"/>
      <c r="D153" s="63">
        <v>8</v>
      </c>
      <c r="E153" s="63">
        <v>8</v>
      </c>
      <c r="F153" s="194">
        <v>0</v>
      </c>
      <c r="G153" s="194">
        <v>0</v>
      </c>
      <c r="H153" s="194">
        <v>14.371</v>
      </c>
      <c r="I153" s="194">
        <v>54.576000000000001</v>
      </c>
      <c r="J153" s="97">
        <v>0</v>
      </c>
      <c r="K153" s="136"/>
      <c r="L153" s="815"/>
      <c r="M153" s="366"/>
      <c r="N153" s="365"/>
      <c r="O153" s="366"/>
    </row>
    <row r="154" spans="1:15" x14ac:dyDescent="0.25">
      <c r="A154" s="782"/>
      <c r="B154" s="376" t="s">
        <v>34</v>
      </c>
      <c r="C154" s="376"/>
      <c r="D154" s="377">
        <v>5</v>
      </c>
      <c r="E154" s="187">
        <v>5</v>
      </c>
      <c r="F154" s="297">
        <v>0.76200000000000001</v>
      </c>
      <c r="G154" s="297">
        <v>0.69</v>
      </c>
      <c r="H154" s="297">
        <v>4.2000000000000003E-2</v>
      </c>
      <c r="I154" s="297">
        <v>9.42</v>
      </c>
      <c r="J154" s="298">
        <v>0</v>
      </c>
      <c r="K154" s="190"/>
      <c r="L154" s="815"/>
      <c r="M154" s="366"/>
      <c r="N154" s="185">
        <v>4.6989999999999998</v>
      </c>
      <c r="O154" s="368">
        <f>SUM(N154*D154)/40</f>
        <v>0.58737499999999998</v>
      </c>
    </row>
    <row r="155" spans="1:15" x14ac:dyDescent="0.25">
      <c r="A155" s="782"/>
      <c r="B155" s="101" t="s">
        <v>21</v>
      </c>
      <c r="C155" s="107"/>
      <c r="D155" s="63">
        <v>5</v>
      </c>
      <c r="E155" s="63">
        <v>5</v>
      </c>
      <c r="F155" s="512">
        <v>0.04</v>
      </c>
      <c r="G155" s="513">
        <v>3.625</v>
      </c>
      <c r="H155" s="194">
        <v>6.5000000000000002E-2</v>
      </c>
      <c r="I155" s="194">
        <v>33.049999999999997</v>
      </c>
      <c r="J155" s="97">
        <v>0</v>
      </c>
      <c r="K155" s="190"/>
      <c r="L155" s="815"/>
      <c r="M155" s="366"/>
      <c r="N155" s="185">
        <v>92.2</v>
      </c>
      <c r="O155" s="368">
        <f t="shared" ref="O155:O159" si="13">SUM(N155*D155)/1000</f>
        <v>0.46100000000000002</v>
      </c>
    </row>
    <row r="156" spans="1:15" x14ac:dyDescent="0.25">
      <c r="A156" s="782"/>
      <c r="B156" s="376" t="s">
        <v>200</v>
      </c>
      <c r="C156" s="376"/>
      <c r="D156" s="187">
        <v>10.199999999999999</v>
      </c>
      <c r="E156" s="187">
        <v>10</v>
      </c>
      <c r="F156" s="297">
        <v>0.04</v>
      </c>
      <c r="G156" s="297">
        <v>0</v>
      </c>
      <c r="H156" s="297">
        <v>6.5</v>
      </c>
      <c r="I156" s="297">
        <v>25</v>
      </c>
      <c r="J156" s="298">
        <v>0.05</v>
      </c>
      <c r="K156" s="190"/>
      <c r="L156" s="815"/>
      <c r="M156" s="366"/>
      <c r="N156" s="185">
        <v>158.22999999999999</v>
      </c>
      <c r="O156" s="368">
        <f t="shared" si="13"/>
        <v>1.6139459999999997</v>
      </c>
    </row>
    <row r="157" spans="1:15" x14ac:dyDescent="0.25">
      <c r="A157" s="782"/>
      <c r="B157" s="376" t="s">
        <v>201</v>
      </c>
      <c r="C157" s="376"/>
      <c r="D157" s="187">
        <v>0.01</v>
      </c>
      <c r="E157" s="187">
        <v>0.01</v>
      </c>
      <c r="F157" s="297"/>
      <c r="G157" s="297"/>
      <c r="H157" s="297"/>
      <c r="I157" s="297"/>
      <c r="J157" s="298"/>
      <c r="K157" s="190"/>
      <c r="L157" s="815"/>
      <c r="M157" s="366"/>
      <c r="N157" s="185"/>
      <c r="O157" s="368"/>
    </row>
    <row r="158" spans="1:15" x14ac:dyDescent="0.25">
      <c r="A158" s="782"/>
      <c r="B158" s="107" t="s">
        <v>68</v>
      </c>
      <c r="C158" s="107"/>
      <c r="D158" s="63">
        <v>4</v>
      </c>
      <c r="E158" s="63">
        <v>4</v>
      </c>
      <c r="F158" s="194">
        <v>0</v>
      </c>
      <c r="G158" s="194">
        <v>0</v>
      </c>
      <c r="H158" s="194">
        <v>0</v>
      </c>
      <c r="I158" s="194">
        <v>0</v>
      </c>
      <c r="J158" s="97">
        <v>0</v>
      </c>
      <c r="K158" s="190"/>
      <c r="L158" s="815"/>
      <c r="M158" s="366"/>
      <c r="N158" s="185"/>
      <c r="O158" s="368"/>
    </row>
    <row r="159" spans="1:15" x14ac:dyDescent="0.25">
      <c r="A159" s="782"/>
      <c r="B159" s="353" t="s">
        <v>152</v>
      </c>
      <c r="C159" s="501"/>
      <c r="D159" s="502">
        <v>4</v>
      </c>
      <c r="E159" s="503">
        <v>4</v>
      </c>
      <c r="F159" s="501">
        <f>2.5*E159/100</f>
        <v>0.1</v>
      </c>
      <c r="G159" s="501">
        <f>15*E159/100</f>
        <v>0.6</v>
      </c>
      <c r="H159" s="501">
        <f>3.4*E159/100</f>
        <v>0.13600000000000001</v>
      </c>
      <c r="I159" s="514">
        <f>206*E159/100</f>
        <v>8.24</v>
      </c>
      <c r="J159" s="515">
        <f>0.3*E159/100</f>
        <v>1.2E-2</v>
      </c>
      <c r="K159" s="190"/>
      <c r="L159" s="815"/>
      <c r="M159" s="366"/>
      <c r="N159" s="185">
        <v>400</v>
      </c>
      <c r="O159" s="368">
        <f t="shared" si="13"/>
        <v>1.6</v>
      </c>
    </row>
    <row r="160" spans="1:15" x14ac:dyDescent="0.25">
      <c r="A160" s="782"/>
      <c r="B160" s="500" t="s">
        <v>202</v>
      </c>
      <c r="C160" s="365"/>
      <c r="D160" s="423"/>
      <c r="E160" s="416">
        <v>100</v>
      </c>
      <c r="F160" s="366"/>
      <c r="G160" s="366"/>
      <c r="H160" s="366"/>
      <c r="I160" s="366"/>
      <c r="J160" s="366"/>
      <c r="K160" s="190"/>
      <c r="L160" s="815"/>
      <c r="M160" s="366"/>
      <c r="N160" s="185"/>
      <c r="O160" s="368"/>
    </row>
    <row r="161" spans="1:15" x14ac:dyDescent="0.25">
      <c r="A161" s="782"/>
      <c r="B161" s="389" t="s">
        <v>221</v>
      </c>
      <c r="C161" s="339">
        <v>25</v>
      </c>
      <c r="D161" s="340"/>
      <c r="E161" s="340"/>
      <c r="F161" s="401">
        <f>F162+F163+F164+F165+F166+F167</f>
        <v>0.47209999999999996</v>
      </c>
      <c r="G161" s="401">
        <f>G162+G163+G164+G165+G166+G167</f>
        <v>1.2096</v>
      </c>
      <c r="H161" s="401">
        <f>H162+H163+H164+H165+H166+H167</f>
        <v>21.340800000000002</v>
      </c>
      <c r="I161" s="401">
        <f>I162+I163+I164+I165+I166+I167</f>
        <v>93.995000000000005</v>
      </c>
      <c r="J161" s="401">
        <f>J162+J163+J164+J165+J166+J167</f>
        <v>0.16250000000000001</v>
      </c>
      <c r="K161" s="483" t="s">
        <v>298</v>
      </c>
      <c r="L161" s="815"/>
      <c r="M161" s="366"/>
      <c r="N161" s="365"/>
      <c r="O161" s="369">
        <f>SUM(O154:O159)</f>
        <v>4.262321</v>
      </c>
    </row>
    <row r="162" spans="1:15" x14ac:dyDescent="0.25">
      <c r="A162" s="782"/>
      <c r="B162" s="406" t="s">
        <v>228</v>
      </c>
      <c r="C162" s="354"/>
      <c r="D162" s="340">
        <v>12.5</v>
      </c>
      <c r="E162" s="340">
        <v>12.5</v>
      </c>
      <c r="F162" s="340">
        <f>2.8*E162/100</f>
        <v>0.35</v>
      </c>
      <c r="G162" s="340">
        <f>3.2*E162/100</f>
        <v>0.4</v>
      </c>
      <c r="H162" s="340">
        <f>4.7*E162/100</f>
        <v>0.58750000000000002</v>
      </c>
      <c r="I162" s="345">
        <f>58*E162/100</f>
        <v>7.25</v>
      </c>
      <c r="J162" s="346">
        <f>1.3*E162/100</f>
        <v>0.16250000000000001</v>
      </c>
      <c r="K162" s="483"/>
      <c r="L162" s="815"/>
      <c r="M162" s="366"/>
      <c r="N162" s="365"/>
      <c r="O162" s="508"/>
    </row>
    <row r="163" spans="1:15" x14ac:dyDescent="0.25">
      <c r="A163" s="782"/>
      <c r="B163" s="406" t="s">
        <v>288</v>
      </c>
      <c r="C163" s="354"/>
      <c r="D163" s="340">
        <v>1.1000000000000001</v>
      </c>
      <c r="E163" s="340">
        <v>1.1000000000000001</v>
      </c>
      <c r="F163" s="340">
        <f>0.8*E163/100</f>
        <v>8.8000000000000005E-3</v>
      </c>
      <c r="G163" s="340">
        <f>72.5*E163/100</f>
        <v>0.79749999999999999</v>
      </c>
      <c r="H163" s="340">
        <f>1.3*E163/100</f>
        <v>1.4300000000000002E-2</v>
      </c>
      <c r="I163" s="345">
        <f>661*E163/100</f>
        <v>7.2709999999999999</v>
      </c>
      <c r="J163" s="346">
        <v>0</v>
      </c>
      <c r="K163" s="483"/>
      <c r="L163" s="815"/>
      <c r="M163" s="366"/>
      <c r="N163" s="365"/>
      <c r="O163" s="508"/>
    </row>
    <row r="164" spans="1:15" x14ac:dyDescent="0.25">
      <c r="A164" s="782"/>
      <c r="B164" s="406" t="s">
        <v>291</v>
      </c>
      <c r="C164" s="354"/>
      <c r="D164" s="340">
        <v>1.1000000000000001</v>
      </c>
      <c r="E164" s="340">
        <v>1.1000000000000001</v>
      </c>
      <c r="F164" s="340">
        <f>10.3*E164/100</f>
        <v>0.11330000000000001</v>
      </c>
      <c r="G164" s="340">
        <f>1.1*E164/100</f>
        <v>1.2100000000000001E-2</v>
      </c>
      <c r="H164" s="340">
        <f>69*E164/100</f>
        <v>0.75900000000000001</v>
      </c>
      <c r="I164" s="345">
        <f>334*E164/100</f>
        <v>3.6740000000000004</v>
      </c>
      <c r="J164" s="346">
        <v>0</v>
      </c>
      <c r="K164" s="483"/>
      <c r="L164" s="815"/>
      <c r="M164" s="366"/>
      <c r="N164" s="365"/>
      <c r="O164" s="508"/>
    </row>
    <row r="165" spans="1:15" x14ac:dyDescent="0.25">
      <c r="A165" s="782"/>
      <c r="B165" s="406" t="s">
        <v>229</v>
      </c>
      <c r="C165" s="354"/>
      <c r="D165" s="340">
        <v>12.5</v>
      </c>
      <c r="E165" s="340">
        <v>12.5</v>
      </c>
      <c r="F165" s="340">
        <v>0</v>
      </c>
      <c r="G165" s="340">
        <v>0</v>
      </c>
      <c r="H165" s="340">
        <v>0</v>
      </c>
      <c r="I165" s="345">
        <v>0</v>
      </c>
      <c r="J165" s="346">
        <v>0</v>
      </c>
      <c r="K165" s="483"/>
      <c r="L165" s="815"/>
      <c r="M165" s="366"/>
      <c r="N165" s="365"/>
      <c r="O165" s="508"/>
    </row>
    <row r="166" spans="1:15" x14ac:dyDescent="0.25">
      <c r="A166" s="782"/>
      <c r="B166" s="406" t="s">
        <v>299</v>
      </c>
      <c r="C166" s="354"/>
      <c r="D166" s="340">
        <v>2</v>
      </c>
      <c r="E166" s="340">
        <v>2</v>
      </c>
      <c r="F166" s="340">
        <v>0</v>
      </c>
      <c r="G166" s="340">
        <v>0</v>
      </c>
      <c r="H166" s="340">
        <v>19.98</v>
      </c>
      <c r="I166" s="345">
        <v>75.8</v>
      </c>
      <c r="J166" s="346">
        <v>0</v>
      </c>
      <c r="K166" s="483"/>
      <c r="L166" s="815"/>
      <c r="M166" s="366"/>
      <c r="N166" s="365"/>
      <c r="O166" s="508"/>
    </row>
    <row r="167" spans="1:15" x14ac:dyDescent="0.25">
      <c r="A167" s="782"/>
      <c r="B167" s="406" t="s">
        <v>300</v>
      </c>
      <c r="C167" s="354"/>
      <c r="D167" s="340">
        <v>1E-3</v>
      </c>
      <c r="E167" s="340">
        <v>1E-3</v>
      </c>
      <c r="F167" s="340">
        <v>0</v>
      </c>
      <c r="G167" s="340">
        <v>0</v>
      </c>
      <c r="H167" s="340">
        <v>0</v>
      </c>
      <c r="I167" s="345">
        <v>0</v>
      </c>
      <c r="J167" s="346">
        <v>0</v>
      </c>
      <c r="K167" s="483"/>
      <c r="L167" s="815"/>
      <c r="M167" s="366"/>
      <c r="N167" s="365"/>
      <c r="O167" s="508"/>
    </row>
    <row r="168" spans="1:15" x14ac:dyDescent="0.25">
      <c r="A168" s="782"/>
      <c r="B168" s="362" t="s">
        <v>56</v>
      </c>
      <c r="C168" s="504">
        <v>180</v>
      </c>
      <c r="D168" s="505"/>
      <c r="E168" s="505"/>
      <c r="F168" s="506">
        <f>F169+F170+F171+F172</f>
        <v>3.25</v>
      </c>
      <c r="G168" s="506">
        <f>G169+G170+G171+G172</f>
        <v>3.3080000000000003</v>
      </c>
      <c r="H168" s="506">
        <f>H169+H170+H171+H172</f>
        <v>14.89</v>
      </c>
      <c r="I168" s="506">
        <f>I169+I170+I171+I172</f>
        <v>99.460999999999999</v>
      </c>
      <c r="J168" s="506">
        <f>J169+J170+J171+J172</f>
        <v>1.3</v>
      </c>
      <c r="K168" s="507" t="s">
        <v>249</v>
      </c>
      <c r="L168" s="815"/>
      <c r="M168" s="364">
        <v>180</v>
      </c>
      <c r="N168" s="365"/>
      <c r="O168" s="366"/>
    </row>
    <row r="169" spans="1:15" x14ac:dyDescent="0.25">
      <c r="A169" s="782"/>
      <c r="B169" s="353" t="s">
        <v>250</v>
      </c>
      <c r="C169" s="343"/>
      <c r="D169" s="340">
        <v>3</v>
      </c>
      <c r="E169" s="340">
        <v>3</v>
      </c>
      <c r="F169" s="340">
        <f>15*E169/100</f>
        <v>0.45</v>
      </c>
      <c r="G169" s="340">
        <f>3.6*E169/100</f>
        <v>0.10800000000000001</v>
      </c>
      <c r="H169" s="340">
        <f>7*E169/100</f>
        <v>0.21</v>
      </c>
      <c r="I169" s="345">
        <f>118.7*E169/100</f>
        <v>3.5610000000000004</v>
      </c>
      <c r="J169" s="346">
        <v>0</v>
      </c>
      <c r="K169" s="480"/>
      <c r="L169" s="815"/>
      <c r="M169" s="366"/>
      <c r="N169" s="185">
        <v>220</v>
      </c>
      <c r="O169" s="367">
        <f>SUM(N169*D169)/1000</f>
        <v>0.66</v>
      </c>
    </row>
    <row r="170" spans="1:15" x14ac:dyDescent="0.25">
      <c r="A170" s="782"/>
      <c r="B170" s="353" t="s">
        <v>229</v>
      </c>
      <c r="C170" s="343"/>
      <c r="D170" s="340">
        <v>108</v>
      </c>
      <c r="E170" s="340">
        <v>108</v>
      </c>
      <c r="F170" s="340">
        <v>0</v>
      </c>
      <c r="G170" s="340">
        <v>0</v>
      </c>
      <c r="H170" s="340">
        <v>0</v>
      </c>
      <c r="I170" s="345">
        <v>0</v>
      </c>
      <c r="J170" s="346">
        <v>0</v>
      </c>
      <c r="K170" s="480"/>
      <c r="L170" s="815"/>
      <c r="M170" s="366"/>
      <c r="N170" s="185">
        <v>50.7</v>
      </c>
      <c r="O170" s="368">
        <f>SUM(N170*D170)/1000</f>
        <v>5.4756</v>
      </c>
    </row>
    <row r="171" spans="1:15" x14ac:dyDescent="0.25">
      <c r="A171" s="782"/>
      <c r="B171" s="353" t="s">
        <v>230</v>
      </c>
      <c r="C171" s="343"/>
      <c r="D171" s="340">
        <v>10</v>
      </c>
      <c r="E171" s="340">
        <v>10</v>
      </c>
      <c r="F171" s="340">
        <v>0</v>
      </c>
      <c r="G171" s="340">
        <v>0</v>
      </c>
      <c r="H171" s="340">
        <f>99.8*E171/100</f>
        <v>9.98</v>
      </c>
      <c r="I171" s="345">
        <f>379*E171/100</f>
        <v>37.9</v>
      </c>
      <c r="J171" s="346">
        <v>0</v>
      </c>
      <c r="K171" s="480"/>
      <c r="L171" s="815"/>
      <c r="M171" s="366"/>
      <c r="N171" s="185">
        <v>95</v>
      </c>
      <c r="O171" s="368">
        <f>SUM(N171*D171)/1000</f>
        <v>0.95</v>
      </c>
    </row>
    <row r="172" spans="1:15" x14ac:dyDescent="0.25">
      <c r="A172" s="782"/>
      <c r="B172" s="353" t="s">
        <v>228</v>
      </c>
      <c r="C172" s="343"/>
      <c r="D172" s="340">
        <v>90</v>
      </c>
      <c r="E172" s="340">
        <v>90</v>
      </c>
      <c r="F172" s="340">
        <v>2.8</v>
      </c>
      <c r="G172" s="340">
        <v>3.2</v>
      </c>
      <c r="H172" s="340">
        <v>4.7</v>
      </c>
      <c r="I172" s="345">
        <v>58</v>
      </c>
      <c r="J172" s="346">
        <v>1.3</v>
      </c>
      <c r="K172" s="480"/>
      <c r="L172" s="815"/>
      <c r="M172" s="366"/>
      <c r="N172" s="185">
        <v>0</v>
      </c>
      <c r="O172" s="368">
        <f>SUM(N172*D172)/1000</f>
        <v>0</v>
      </c>
    </row>
    <row r="173" spans="1:15" x14ac:dyDescent="0.25">
      <c r="A173" s="782"/>
      <c r="B173" s="254"/>
      <c r="C173" s="254"/>
      <c r="D173" s="187"/>
      <c r="E173" s="187"/>
      <c r="F173" s="130">
        <f>SUM(F169:F172)</f>
        <v>3.25</v>
      </c>
      <c r="G173" s="130">
        <f>SUM(G169:G172)</f>
        <v>3.3080000000000003</v>
      </c>
      <c r="H173" s="130">
        <f>SUM(H169:H172)</f>
        <v>14.89</v>
      </c>
      <c r="I173" s="130">
        <f>SUM(I169:I172)</f>
        <v>99.460999999999999</v>
      </c>
      <c r="J173" s="131">
        <f>SUM(J169:J172)</f>
        <v>1.3</v>
      </c>
      <c r="K173" s="158"/>
      <c r="L173" s="815"/>
      <c r="M173" s="366"/>
      <c r="N173" s="365"/>
      <c r="O173" s="369">
        <f>SUM(O169:O172)</f>
        <v>7.0856000000000003</v>
      </c>
    </row>
    <row r="174" spans="1:15" x14ac:dyDescent="0.25">
      <c r="A174" s="783"/>
      <c r="B174" s="254" t="s">
        <v>46</v>
      </c>
      <c r="C174" s="254"/>
      <c r="D174" s="187"/>
      <c r="E174" s="187"/>
      <c r="F174" s="142">
        <f>SUM(F161,F173,F149)</f>
        <v>9.5280999999999985</v>
      </c>
      <c r="G174" s="142">
        <f t="shared" ref="G174:J174" si="14">SUM(G161,G173,G149)</f>
        <v>11.672599999999999</v>
      </c>
      <c r="H174" s="142">
        <f t="shared" si="14"/>
        <v>69.756799999999998</v>
      </c>
      <c r="I174" s="142">
        <f t="shared" si="14"/>
        <v>412.25200000000001</v>
      </c>
      <c r="J174" s="142">
        <f t="shared" si="14"/>
        <v>1.6945000000000001</v>
      </c>
      <c r="K174" s="158"/>
      <c r="L174" s="816"/>
      <c r="M174" s="370">
        <f>SUM(M149:M173)</f>
        <v>310</v>
      </c>
      <c r="N174" s="365"/>
      <c r="O174" s="371">
        <f>SUM(O161,O173)</f>
        <v>11.347920999999999</v>
      </c>
    </row>
    <row r="175" spans="1:15" ht="29.25" customHeight="1" x14ac:dyDescent="0.25">
      <c r="A175" s="15" t="s">
        <v>79</v>
      </c>
      <c r="B175" s="16"/>
      <c r="C175" s="16"/>
      <c r="D175" s="17"/>
      <c r="E175" s="17"/>
      <c r="F175" s="322">
        <f>SUM(F99,F147,F174)</f>
        <v>42.883700000000005</v>
      </c>
      <c r="G175" s="322">
        <f>SUM(G99,G147,G174)</f>
        <v>44.384599999999992</v>
      </c>
      <c r="H175" s="322">
        <f>SUM(H99,H147,H174)</f>
        <v>284.61429999999996</v>
      </c>
      <c r="I175" s="322">
        <f>SUM(I99,I147,I174)</f>
        <v>1699.2329</v>
      </c>
      <c r="J175" s="322">
        <f>SUM(J99,J147,J174)</f>
        <v>31.247500000000002</v>
      </c>
      <c r="K175" s="19"/>
      <c r="L175" s="467"/>
      <c r="M175" s="73"/>
      <c r="N175" s="74"/>
      <c r="O175" s="80" t="e">
        <f>SUM(O99,O147,O174)</f>
        <v>#REF!</v>
      </c>
    </row>
    <row r="176" spans="1:15" x14ac:dyDescent="0.25">
      <c r="A176" s="13" t="s">
        <v>80</v>
      </c>
      <c r="B176" s="13"/>
      <c r="C176" s="13"/>
      <c r="D176" s="63"/>
      <c r="E176" s="63"/>
      <c r="F176" s="13"/>
      <c r="G176" s="13"/>
      <c r="H176" s="13"/>
      <c r="I176" s="13"/>
      <c r="J176" s="96"/>
      <c r="K176" s="125"/>
      <c r="L176" s="464"/>
      <c r="M176" s="64"/>
      <c r="N176" s="65"/>
      <c r="O176" s="64"/>
    </row>
    <row r="177" spans="1:15" x14ac:dyDescent="0.25">
      <c r="A177" s="5" t="s">
        <v>16</v>
      </c>
      <c r="B177" s="13"/>
      <c r="C177" s="4"/>
      <c r="D177" s="105"/>
      <c r="E177" s="106"/>
      <c r="F177" s="63"/>
      <c r="G177" s="63"/>
      <c r="H177" s="63"/>
      <c r="I177" s="63"/>
      <c r="J177" s="96"/>
      <c r="K177" s="125"/>
      <c r="L177" s="464"/>
      <c r="M177" s="64"/>
      <c r="N177" s="65"/>
      <c r="O177" s="64"/>
    </row>
    <row r="178" spans="1:15" ht="45" x14ac:dyDescent="0.25">
      <c r="A178" s="781"/>
      <c r="B178" s="435" t="s">
        <v>193</v>
      </c>
      <c r="C178" s="124">
        <v>180</v>
      </c>
      <c r="D178" s="13"/>
      <c r="E178" s="13"/>
      <c r="F178" s="63"/>
      <c r="G178" s="63"/>
      <c r="H178" s="63"/>
      <c r="I178" s="63"/>
      <c r="J178" s="96"/>
      <c r="K178" s="125" t="s">
        <v>194</v>
      </c>
      <c r="L178" s="784" t="s">
        <v>17</v>
      </c>
      <c r="M178" s="64">
        <v>180</v>
      </c>
      <c r="N178" s="65"/>
      <c r="O178" s="68"/>
    </row>
    <row r="179" spans="1:15" x14ac:dyDescent="0.25">
      <c r="A179" s="782"/>
      <c r="B179" s="107" t="s">
        <v>44</v>
      </c>
      <c r="C179" s="63"/>
      <c r="D179" s="63">
        <v>126</v>
      </c>
      <c r="E179" s="161">
        <v>126</v>
      </c>
      <c r="F179" s="323">
        <v>3.528</v>
      </c>
      <c r="G179" s="63">
        <v>4.032</v>
      </c>
      <c r="H179" s="63">
        <v>5.9219999999999997</v>
      </c>
      <c r="I179" s="161">
        <v>73.08</v>
      </c>
      <c r="J179" s="96">
        <v>1.6379999999999999</v>
      </c>
      <c r="K179" s="126"/>
      <c r="L179" s="785"/>
      <c r="M179" s="64"/>
      <c r="N179" s="114">
        <v>43.22</v>
      </c>
      <c r="O179" s="68">
        <f t="shared" ref="O179:O184" si="15">SUM(N179*D179)/1000</f>
        <v>5.4457200000000006</v>
      </c>
    </row>
    <row r="180" spans="1:15" x14ac:dyDescent="0.25">
      <c r="A180" s="782"/>
      <c r="B180" s="107" t="s">
        <v>120</v>
      </c>
      <c r="C180" s="63"/>
      <c r="D180" s="63">
        <v>54</v>
      </c>
      <c r="E180" s="63">
        <v>54</v>
      </c>
      <c r="F180" s="323">
        <v>0</v>
      </c>
      <c r="G180" s="63">
        <v>0</v>
      </c>
      <c r="H180" s="63">
        <v>0</v>
      </c>
      <c r="I180" s="63">
        <v>0</v>
      </c>
      <c r="J180" s="96">
        <v>0</v>
      </c>
      <c r="K180" s="126"/>
      <c r="L180" s="785"/>
      <c r="M180" s="64"/>
      <c r="N180" s="114">
        <v>0</v>
      </c>
      <c r="O180" s="68">
        <f t="shared" si="15"/>
        <v>0</v>
      </c>
    </row>
    <row r="181" spans="1:15" ht="30" x14ac:dyDescent="0.25">
      <c r="A181" s="782"/>
      <c r="B181" s="107" t="s">
        <v>214</v>
      </c>
      <c r="C181" s="63"/>
      <c r="D181" s="63">
        <v>14.4</v>
      </c>
      <c r="E181" s="63">
        <v>14.4</v>
      </c>
      <c r="F181" s="323">
        <v>1.4970000000000001</v>
      </c>
      <c r="G181" s="63">
        <v>0.158</v>
      </c>
      <c r="H181" s="63">
        <v>10.036</v>
      </c>
      <c r="I181" s="63">
        <v>48.527999999999999</v>
      </c>
      <c r="J181" s="96">
        <v>0</v>
      </c>
      <c r="K181" s="126"/>
      <c r="L181" s="785"/>
      <c r="M181" s="64"/>
      <c r="N181" s="114">
        <v>47.71</v>
      </c>
      <c r="O181" s="68">
        <f t="shared" si="15"/>
        <v>0.68702399999999997</v>
      </c>
    </row>
    <row r="182" spans="1:15" ht="16.5" customHeight="1" x14ac:dyDescent="0.25">
      <c r="A182" s="782"/>
      <c r="B182" s="107" t="s">
        <v>20</v>
      </c>
      <c r="C182" s="63"/>
      <c r="D182" s="63">
        <v>1.44</v>
      </c>
      <c r="E182" s="63">
        <v>1.44</v>
      </c>
      <c r="F182" s="323">
        <v>0</v>
      </c>
      <c r="G182" s="63">
        <v>0</v>
      </c>
      <c r="H182" s="63">
        <v>1.4370000000000001</v>
      </c>
      <c r="I182" s="63">
        <v>5.306</v>
      </c>
      <c r="J182" s="96">
        <v>0</v>
      </c>
      <c r="K182" s="126"/>
      <c r="L182" s="785"/>
      <c r="M182" s="64"/>
      <c r="N182" s="114">
        <v>50.7</v>
      </c>
      <c r="O182" s="68">
        <f t="shared" si="15"/>
        <v>7.300799999999999E-2</v>
      </c>
    </row>
    <row r="183" spans="1:15" ht="17.25" customHeight="1" x14ac:dyDescent="0.25">
      <c r="A183" s="782"/>
      <c r="B183" s="107" t="s">
        <v>112</v>
      </c>
      <c r="C183" s="63"/>
      <c r="D183" s="63">
        <v>0.27</v>
      </c>
      <c r="E183" s="63">
        <v>0.27</v>
      </c>
      <c r="F183" s="323">
        <v>0</v>
      </c>
      <c r="G183" s="63">
        <v>0</v>
      </c>
      <c r="H183" s="63">
        <v>0</v>
      </c>
      <c r="I183" s="63">
        <v>0</v>
      </c>
      <c r="J183" s="96">
        <v>0</v>
      </c>
      <c r="K183" s="126"/>
      <c r="L183" s="785"/>
      <c r="M183" s="64"/>
      <c r="N183" s="114">
        <v>16.62</v>
      </c>
      <c r="O183" s="68">
        <f t="shared" si="15"/>
        <v>4.4874000000000008E-3</v>
      </c>
    </row>
    <row r="184" spans="1:15" x14ac:dyDescent="0.25">
      <c r="A184" s="782"/>
      <c r="B184" s="107" t="s">
        <v>21</v>
      </c>
      <c r="C184" s="63"/>
      <c r="D184" s="63">
        <v>1.8</v>
      </c>
      <c r="E184" s="63">
        <v>1.8</v>
      </c>
      <c r="F184" s="323">
        <v>1.44E-2</v>
      </c>
      <c r="G184" s="194">
        <v>1.3049999999999999</v>
      </c>
      <c r="H184" s="63">
        <v>2.3400000000000001E-2</v>
      </c>
      <c r="I184" s="63">
        <v>11.898</v>
      </c>
      <c r="J184" s="97">
        <v>0</v>
      </c>
      <c r="K184" s="126"/>
      <c r="L184" s="785"/>
      <c r="M184" s="64"/>
      <c r="N184" s="114">
        <v>376.98</v>
      </c>
      <c r="O184" s="68">
        <f t="shared" si="15"/>
        <v>0.67856400000000006</v>
      </c>
    </row>
    <row r="185" spans="1:15" x14ac:dyDescent="0.25">
      <c r="A185" s="782"/>
      <c r="B185" s="107"/>
      <c r="C185" s="63"/>
      <c r="D185" s="63"/>
      <c r="E185" s="63"/>
      <c r="F185" s="324">
        <f>SUM(F179:F184)</f>
        <v>5.0394000000000005</v>
      </c>
      <c r="G185" s="118">
        <f>SUM(G179:G184)</f>
        <v>5.4950000000000001</v>
      </c>
      <c r="H185" s="118">
        <f>SUM(H179:H184)</f>
        <v>17.418399999999998</v>
      </c>
      <c r="I185" s="118">
        <f>SUM(I179:I184)</f>
        <v>138.81200000000001</v>
      </c>
      <c r="J185" s="119">
        <f>SUM(J179:J184)</f>
        <v>1.6379999999999999</v>
      </c>
      <c r="K185" s="156"/>
      <c r="L185" s="785"/>
      <c r="M185" s="64"/>
      <c r="N185" s="65"/>
      <c r="O185" s="72">
        <f>SUM(O179:O184)</f>
        <v>6.8888034000000005</v>
      </c>
    </row>
    <row r="186" spans="1:15" x14ac:dyDescent="0.25">
      <c r="A186" s="782"/>
      <c r="B186" s="328" t="s">
        <v>209</v>
      </c>
      <c r="C186" s="124">
        <v>45</v>
      </c>
      <c r="D186" s="13"/>
      <c r="E186" s="13"/>
      <c r="F186" s="13"/>
      <c r="G186" s="13"/>
      <c r="H186" s="13"/>
      <c r="I186" s="13"/>
      <c r="J186" s="107"/>
      <c r="K186" s="125" t="s">
        <v>210</v>
      </c>
      <c r="L186" s="785"/>
      <c r="M186" s="64">
        <v>45</v>
      </c>
      <c r="N186" s="65"/>
      <c r="O186" s="68"/>
    </row>
    <row r="187" spans="1:15" x14ac:dyDescent="0.25">
      <c r="A187" s="782"/>
      <c r="B187" s="107" t="s">
        <v>106</v>
      </c>
      <c r="C187" s="107"/>
      <c r="D187" s="63">
        <v>30</v>
      </c>
      <c r="E187" s="63">
        <v>30</v>
      </c>
      <c r="F187" s="63">
        <v>2.31</v>
      </c>
      <c r="G187" s="63">
        <v>0.9</v>
      </c>
      <c r="H187" s="63">
        <v>14.94</v>
      </c>
      <c r="I187" s="63">
        <v>78.599999999999994</v>
      </c>
      <c r="J187" s="96">
        <v>0</v>
      </c>
      <c r="K187" s="126"/>
      <c r="L187" s="785"/>
      <c r="M187" s="64"/>
      <c r="N187" s="65">
        <v>50</v>
      </c>
      <c r="O187" s="68">
        <f>SUM(D187*N187)/1000</f>
        <v>1.5</v>
      </c>
    </row>
    <row r="188" spans="1:15" x14ac:dyDescent="0.25">
      <c r="A188" s="782"/>
      <c r="B188" s="107" t="s">
        <v>211</v>
      </c>
      <c r="C188" s="107"/>
      <c r="D188" s="63">
        <v>16</v>
      </c>
      <c r="E188" s="63">
        <v>15</v>
      </c>
      <c r="F188" s="63">
        <v>3.45</v>
      </c>
      <c r="G188" s="63">
        <v>4.3499999999999996</v>
      </c>
      <c r="H188" s="63">
        <v>0</v>
      </c>
      <c r="I188" s="63">
        <v>54</v>
      </c>
      <c r="J188" s="96">
        <v>0.42</v>
      </c>
      <c r="K188" s="126"/>
      <c r="L188" s="785"/>
      <c r="M188" s="64"/>
      <c r="N188" s="65">
        <v>320.70999999999998</v>
      </c>
      <c r="O188" s="68">
        <f>SUM(N188*D188)/1000</f>
        <v>5.1313599999999999</v>
      </c>
    </row>
    <row r="189" spans="1:15" x14ac:dyDescent="0.25">
      <c r="A189" s="782"/>
      <c r="B189" s="107"/>
      <c r="C189" s="107"/>
      <c r="D189" s="63"/>
      <c r="E189" s="63"/>
      <c r="F189" s="118">
        <f>SUM(F187:F188)</f>
        <v>5.76</v>
      </c>
      <c r="G189" s="118">
        <f t="shared" ref="G189:J189" si="16">SUM(G187:G188)</f>
        <v>5.25</v>
      </c>
      <c r="H189" s="118">
        <f t="shared" si="16"/>
        <v>14.94</v>
      </c>
      <c r="I189" s="118">
        <f t="shared" si="16"/>
        <v>132.6</v>
      </c>
      <c r="J189" s="118">
        <f t="shared" si="16"/>
        <v>0.42</v>
      </c>
      <c r="K189" s="153"/>
      <c r="L189" s="785"/>
      <c r="M189" s="64"/>
      <c r="N189" s="65"/>
      <c r="O189" s="72">
        <f>SUM(O187:O188)</f>
        <v>6.6313599999999999</v>
      </c>
    </row>
    <row r="190" spans="1:15" x14ac:dyDescent="0.25">
      <c r="A190" s="782"/>
      <c r="B190" s="426" t="s">
        <v>99</v>
      </c>
      <c r="C190" s="124">
        <v>180</v>
      </c>
      <c r="D190" s="13"/>
      <c r="E190" s="13"/>
      <c r="F190" s="63"/>
      <c r="G190" s="63"/>
      <c r="H190" s="63"/>
      <c r="I190" s="63"/>
      <c r="J190" s="96"/>
      <c r="K190" s="155" t="s">
        <v>179</v>
      </c>
      <c r="L190" s="785"/>
      <c r="M190" s="64">
        <v>180</v>
      </c>
      <c r="N190" s="114"/>
      <c r="O190" s="64"/>
    </row>
    <row r="191" spans="1:15" x14ac:dyDescent="0.25">
      <c r="A191" s="782"/>
      <c r="B191" s="107" t="s">
        <v>100</v>
      </c>
      <c r="C191" s="107"/>
      <c r="D191" s="63">
        <v>2</v>
      </c>
      <c r="E191" s="63">
        <v>2</v>
      </c>
      <c r="F191" s="63">
        <v>0.48</v>
      </c>
      <c r="G191" s="63">
        <v>0.3</v>
      </c>
      <c r="H191" s="63">
        <v>0.20399999999999999</v>
      </c>
      <c r="I191" s="63">
        <v>5.78</v>
      </c>
      <c r="J191" s="231">
        <v>0</v>
      </c>
      <c r="K191" s="126"/>
      <c r="L191" s="785"/>
      <c r="M191" s="64"/>
      <c r="N191" s="114">
        <v>110</v>
      </c>
      <c r="O191" s="64">
        <f>SUM(N191*D191)/1000</f>
        <v>0.22</v>
      </c>
    </row>
    <row r="192" spans="1:15" x14ac:dyDescent="0.25">
      <c r="A192" s="782"/>
      <c r="B192" s="107" t="s">
        <v>44</v>
      </c>
      <c r="C192" s="107"/>
      <c r="D192" s="63">
        <v>110</v>
      </c>
      <c r="E192" s="63">
        <v>110</v>
      </c>
      <c r="F192" s="63">
        <v>3.08</v>
      </c>
      <c r="G192" s="63">
        <v>3.52</v>
      </c>
      <c r="H192" s="63">
        <v>5.17</v>
      </c>
      <c r="I192" s="63">
        <v>63.8</v>
      </c>
      <c r="J192" s="96">
        <v>1.43</v>
      </c>
      <c r="K192" s="126"/>
      <c r="L192" s="785"/>
      <c r="M192" s="64"/>
      <c r="N192" s="114">
        <v>50.7</v>
      </c>
      <c r="O192" s="64">
        <f>SUM(N192*D192)/1000</f>
        <v>5.577</v>
      </c>
    </row>
    <row r="193" spans="1:15" x14ac:dyDescent="0.25">
      <c r="A193" s="782"/>
      <c r="B193" s="107" t="s">
        <v>49</v>
      </c>
      <c r="C193" s="107"/>
      <c r="D193" s="63">
        <v>10</v>
      </c>
      <c r="E193" s="63">
        <v>10</v>
      </c>
      <c r="F193" s="63">
        <v>0</v>
      </c>
      <c r="G193" s="63">
        <v>0</v>
      </c>
      <c r="H193" s="63">
        <v>9.98</v>
      </c>
      <c r="I193" s="63">
        <v>37.9</v>
      </c>
      <c r="J193" s="96">
        <v>0</v>
      </c>
      <c r="K193" s="126"/>
      <c r="L193" s="785"/>
      <c r="M193" s="64"/>
      <c r="N193" s="114">
        <v>95</v>
      </c>
      <c r="O193" s="64">
        <f>SUM(N193*D193)/1000</f>
        <v>0.95</v>
      </c>
    </row>
    <row r="194" spans="1:15" x14ac:dyDescent="0.25">
      <c r="A194" s="782"/>
      <c r="B194" s="107" t="s">
        <v>19</v>
      </c>
      <c r="C194" s="107"/>
      <c r="D194" s="63">
        <v>80</v>
      </c>
      <c r="E194" s="63">
        <v>80</v>
      </c>
      <c r="F194" s="63">
        <v>0</v>
      </c>
      <c r="G194" s="63">
        <v>0</v>
      </c>
      <c r="H194" s="63">
        <v>0</v>
      </c>
      <c r="I194" s="63">
        <v>0</v>
      </c>
      <c r="J194" s="96">
        <v>0</v>
      </c>
      <c r="K194" s="126"/>
      <c r="L194" s="785"/>
      <c r="M194" s="64"/>
      <c r="N194" s="114">
        <v>0</v>
      </c>
      <c r="O194" s="64">
        <f>SUM(N194*D194)/1000</f>
        <v>0</v>
      </c>
    </row>
    <row r="195" spans="1:15" x14ac:dyDescent="0.25">
      <c r="A195" s="782"/>
      <c r="B195" s="107"/>
      <c r="C195" s="107"/>
      <c r="D195" s="63"/>
      <c r="E195" s="63"/>
      <c r="F195" s="118">
        <f>SUM(F191:F194)</f>
        <v>3.56</v>
      </c>
      <c r="G195" s="118">
        <f t="shared" ref="G195:J195" si="17">SUM(G191:G194)</f>
        <v>3.82</v>
      </c>
      <c r="H195" s="118">
        <f t="shared" si="17"/>
        <v>15.353999999999999</v>
      </c>
      <c r="I195" s="118">
        <f t="shared" si="17"/>
        <v>107.47999999999999</v>
      </c>
      <c r="J195" s="118">
        <f t="shared" si="17"/>
        <v>1.43</v>
      </c>
      <c r="K195" s="126"/>
      <c r="L195" s="785"/>
      <c r="M195" s="64"/>
      <c r="N195" s="65"/>
      <c r="O195" s="72">
        <f>SUM(O190:O194)</f>
        <v>6.7469999999999999</v>
      </c>
    </row>
    <row r="196" spans="1:15" hidden="1" x14ac:dyDescent="0.25">
      <c r="A196" s="787" t="s">
        <v>208</v>
      </c>
      <c r="B196" s="124"/>
      <c r="C196" s="124"/>
      <c r="D196" s="63"/>
      <c r="E196" s="63"/>
      <c r="F196" s="130"/>
      <c r="G196" s="130"/>
      <c r="H196" s="130"/>
      <c r="I196" s="130"/>
      <c r="J196" s="131"/>
      <c r="K196" s="162"/>
      <c r="L196" s="785"/>
      <c r="M196" s="64"/>
      <c r="N196" s="65"/>
      <c r="O196" s="81"/>
    </row>
    <row r="197" spans="1:15" ht="29.25" x14ac:dyDescent="0.25">
      <c r="A197" s="788"/>
      <c r="B197" s="384" t="s">
        <v>267</v>
      </c>
      <c r="C197" s="390">
        <v>180</v>
      </c>
      <c r="D197" s="391"/>
      <c r="E197" s="340"/>
      <c r="F197" s="412">
        <v>0</v>
      </c>
      <c r="G197" s="412">
        <v>0</v>
      </c>
      <c r="H197" s="412">
        <v>19.98</v>
      </c>
      <c r="I197" s="413">
        <v>104</v>
      </c>
      <c r="J197" s="414">
        <v>0.24</v>
      </c>
      <c r="K197" s="485" t="s">
        <v>314</v>
      </c>
      <c r="L197" s="785"/>
      <c r="M197" s="64">
        <v>100</v>
      </c>
      <c r="N197" s="65">
        <v>60.94</v>
      </c>
      <c r="O197" s="394">
        <v>6.09</v>
      </c>
    </row>
    <row r="198" spans="1:15" ht="30" x14ac:dyDescent="0.25">
      <c r="A198" s="788"/>
      <c r="B198" s="382" t="s">
        <v>269</v>
      </c>
      <c r="C198" s="343"/>
      <c r="D198" s="340">
        <v>18</v>
      </c>
      <c r="E198" s="340">
        <v>18</v>
      </c>
      <c r="F198" s="340">
        <v>0</v>
      </c>
      <c r="G198" s="340">
        <v>0</v>
      </c>
      <c r="H198" s="340">
        <v>0</v>
      </c>
      <c r="I198" s="345">
        <v>28.2</v>
      </c>
      <c r="J198" s="346">
        <v>0.04</v>
      </c>
      <c r="K198" s="480"/>
      <c r="L198" s="785"/>
      <c r="M198" s="64"/>
      <c r="N198" s="65"/>
      <c r="O198" s="334"/>
    </row>
    <row r="199" spans="1:15" x14ac:dyDescent="0.25">
      <c r="A199" s="788"/>
      <c r="B199" s="382" t="s">
        <v>230</v>
      </c>
      <c r="C199" s="343"/>
      <c r="D199" s="340">
        <v>10</v>
      </c>
      <c r="E199" s="340">
        <v>10</v>
      </c>
      <c r="F199" s="340">
        <v>0</v>
      </c>
      <c r="G199" s="340">
        <v>0</v>
      </c>
      <c r="H199" s="340">
        <v>19.98</v>
      </c>
      <c r="I199" s="345">
        <v>75.8</v>
      </c>
      <c r="J199" s="346">
        <v>0</v>
      </c>
      <c r="K199" s="480"/>
      <c r="L199" s="785"/>
      <c r="M199" s="64"/>
      <c r="N199" s="65"/>
      <c r="O199" s="334"/>
    </row>
    <row r="200" spans="1:15" x14ac:dyDescent="0.25">
      <c r="A200" s="788"/>
      <c r="B200" s="382" t="s">
        <v>229</v>
      </c>
      <c r="C200" s="343"/>
      <c r="D200" s="340">
        <v>180</v>
      </c>
      <c r="E200" s="340">
        <v>180</v>
      </c>
      <c r="F200" s="340">
        <v>0</v>
      </c>
      <c r="G200" s="340">
        <v>0</v>
      </c>
      <c r="H200" s="340">
        <v>0</v>
      </c>
      <c r="I200" s="345">
        <v>0</v>
      </c>
      <c r="J200" s="346">
        <v>0</v>
      </c>
      <c r="K200" s="480"/>
      <c r="L200" s="785"/>
      <c r="M200" s="64"/>
      <c r="N200" s="65"/>
      <c r="O200" s="334"/>
    </row>
    <row r="201" spans="1:15" x14ac:dyDescent="0.25">
      <c r="A201" s="789"/>
      <c r="B201" s="140" t="s">
        <v>57</v>
      </c>
      <c r="C201" s="163"/>
      <c r="D201" s="63"/>
      <c r="E201" s="13"/>
      <c r="F201" s="310">
        <f>SUM(F185,F189,F195:F197)</f>
        <v>14.359400000000001</v>
      </c>
      <c r="G201" s="310">
        <f t="shared" ref="G201:J201" si="18">SUM(G185,G189,G195:G197)</f>
        <v>14.565000000000001</v>
      </c>
      <c r="H201" s="310">
        <f t="shared" si="18"/>
        <v>67.692399999999992</v>
      </c>
      <c r="I201" s="310">
        <f t="shared" si="18"/>
        <v>482.89200000000005</v>
      </c>
      <c r="J201" s="310">
        <f t="shared" si="18"/>
        <v>3.7279999999999998</v>
      </c>
      <c r="K201" s="162"/>
      <c r="L201" s="786"/>
      <c r="M201" s="69">
        <f>SUM(M178:M197)</f>
        <v>505</v>
      </c>
      <c r="N201" s="65"/>
      <c r="O201" s="71">
        <f>SUM(O185,O189,O196:O197)</f>
        <v>19.610163400000001</v>
      </c>
    </row>
    <row r="202" spans="1:15" x14ac:dyDescent="0.25">
      <c r="A202" s="456" t="s">
        <v>58</v>
      </c>
      <c r="B202" s="154"/>
      <c r="C202" s="165"/>
      <c r="D202" s="166"/>
      <c r="E202" s="167"/>
      <c r="F202" s="141"/>
      <c r="G202" s="141"/>
      <c r="H202" s="141"/>
      <c r="I202" s="141"/>
      <c r="J202" s="168"/>
      <c r="K202" s="126"/>
      <c r="L202" s="464"/>
      <c r="M202" s="64"/>
      <c r="N202" s="65"/>
      <c r="O202" s="64"/>
    </row>
    <row r="203" spans="1:15" ht="29.25" x14ac:dyDescent="0.25">
      <c r="A203" s="782"/>
      <c r="B203" s="380" t="s">
        <v>256</v>
      </c>
      <c r="C203" s="339">
        <v>200</v>
      </c>
      <c r="D203" s="340"/>
      <c r="E203" s="340"/>
      <c r="F203" s="341" t="s">
        <v>48</v>
      </c>
      <c r="G203" s="341" t="s">
        <v>48</v>
      </c>
      <c r="H203" s="341" t="s">
        <v>48</v>
      </c>
      <c r="I203" s="341" t="s">
        <v>48</v>
      </c>
      <c r="J203" s="341" t="s">
        <v>48</v>
      </c>
      <c r="K203" s="481" t="s">
        <v>315</v>
      </c>
      <c r="L203" s="785"/>
      <c r="M203" s="64">
        <v>200</v>
      </c>
      <c r="N203" s="65"/>
      <c r="O203" s="64"/>
    </row>
    <row r="204" spans="1:15" ht="15.75" customHeight="1" x14ac:dyDescent="0.25">
      <c r="A204" s="782"/>
      <c r="B204" s="381" t="s">
        <v>30</v>
      </c>
      <c r="C204" s="354"/>
      <c r="D204" s="343">
        <v>140</v>
      </c>
      <c r="E204" s="343">
        <v>105</v>
      </c>
      <c r="F204" s="340">
        <f>2*E204/100</f>
        <v>2.1</v>
      </c>
      <c r="G204" s="340">
        <f>0.4*E204/100</f>
        <v>0.42</v>
      </c>
      <c r="H204" s="340">
        <f>16.3*E204/100</f>
        <v>17.114999999999998</v>
      </c>
      <c r="I204" s="345">
        <f>77*E204/100</f>
        <v>80.849999999999994</v>
      </c>
      <c r="J204" s="346">
        <f>20*E204/100</f>
        <v>21</v>
      </c>
      <c r="K204" s="483"/>
      <c r="L204" s="785"/>
      <c r="M204" s="70"/>
      <c r="N204" s="135">
        <v>21.89</v>
      </c>
      <c r="O204" s="68">
        <f>SUM(N204*D204)/1000</f>
        <v>3.0646</v>
      </c>
    </row>
    <row r="205" spans="1:15" x14ac:dyDescent="0.25">
      <c r="A205" s="782"/>
      <c r="B205" s="381" t="s">
        <v>31</v>
      </c>
      <c r="C205" s="354"/>
      <c r="D205" s="343">
        <v>16</v>
      </c>
      <c r="E205" s="343">
        <v>13</v>
      </c>
      <c r="F205" s="340">
        <f>1.3*E205/100</f>
        <v>0.16900000000000001</v>
      </c>
      <c r="G205" s="340">
        <v>0</v>
      </c>
      <c r="H205" s="340">
        <f>6.9*E205/100</f>
        <v>0.89700000000000002</v>
      </c>
      <c r="I205" s="345">
        <f>35*E205/100</f>
        <v>4.55</v>
      </c>
      <c r="J205" s="346">
        <f>5*E205/100</f>
        <v>0.65</v>
      </c>
      <c r="K205" s="483"/>
      <c r="L205" s="785"/>
      <c r="M205" s="64"/>
      <c r="N205" s="114">
        <v>38.5</v>
      </c>
      <c r="O205" s="68">
        <f>SUM(N205*D205)/1000</f>
        <v>0.61599999999999999</v>
      </c>
    </row>
    <row r="206" spans="1:15" x14ac:dyDescent="0.25">
      <c r="A206" s="782"/>
      <c r="B206" s="381" t="s">
        <v>32</v>
      </c>
      <c r="C206" s="354"/>
      <c r="D206" s="343">
        <v>10</v>
      </c>
      <c r="E206" s="343">
        <v>8.4</v>
      </c>
      <c r="F206" s="340">
        <f>1.4*E206/100</f>
        <v>0.1176</v>
      </c>
      <c r="G206" s="340">
        <v>0</v>
      </c>
      <c r="H206" s="340">
        <f>8.2*E206/100</f>
        <v>0.68879999999999997</v>
      </c>
      <c r="I206" s="345">
        <f>41*E206/100</f>
        <v>3.4440000000000004</v>
      </c>
      <c r="J206" s="346">
        <f>10*E206/100</f>
        <v>0.84</v>
      </c>
      <c r="K206" s="483"/>
      <c r="L206" s="785"/>
      <c r="M206" s="64"/>
      <c r="N206" s="114">
        <v>21.98</v>
      </c>
      <c r="O206" s="68">
        <f>SUM(N206*D206)/1000</f>
        <v>0.21980000000000002</v>
      </c>
    </row>
    <row r="207" spans="1:15" x14ac:dyDescent="0.25">
      <c r="A207" s="782"/>
      <c r="B207" s="381" t="s">
        <v>257</v>
      </c>
      <c r="C207" s="354"/>
      <c r="D207" s="343">
        <v>2</v>
      </c>
      <c r="E207" s="343">
        <v>1.5</v>
      </c>
      <c r="F207" s="340">
        <f>2.5*E207/100</f>
        <v>3.7499999999999999E-2</v>
      </c>
      <c r="G207" s="340">
        <v>0</v>
      </c>
      <c r="H207" s="340">
        <f>6.3*E207/100</f>
        <v>9.4499999999999987E-2</v>
      </c>
      <c r="I207" s="345">
        <f>40*E207/100</f>
        <v>0.6</v>
      </c>
      <c r="J207" s="346">
        <f>100*E207/100</f>
        <v>1.5</v>
      </c>
      <c r="K207" s="483"/>
      <c r="L207" s="785"/>
      <c r="M207" s="64"/>
      <c r="N207" s="114">
        <v>92.2</v>
      </c>
      <c r="O207" s="68">
        <f>SUM(N207*D207)/1000</f>
        <v>0.18440000000000001</v>
      </c>
    </row>
    <row r="208" spans="1:15" x14ac:dyDescent="0.25">
      <c r="A208" s="782"/>
      <c r="B208" s="382" t="s">
        <v>231</v>
      </c>
      <c r="C208" s="354"/>
      <c r="D208" s="343">
        <v>0.4</v>
      </c>
      <c r="E208" s="343">
        <v>0.4</v>
      </c>
      <c r="F208" s="340">
        <v>0</v>
      </c>
      <c r="G208" s="340">
        <v>0</v>
      </c>
      <c r="H208" s="340">
        <v>0</v>
      </c>
      <c r="I208" s="345">
        <v>0</v>
      </c>
      <c r="J208" s="346">
        <v>0</v>
      </c>
      <c r="K208" s="483"/>
      <c r="L208" s="785"/>
      <c r="M208" s="64"/>
      <c r="N208" s="114">
        <v>0</v>
      </c>
      <c r="O208" s="68"/>
    </row>
    <row r="209" spans="1:15" x14ac:dyDescent="0.25">
      <c r="A209" s="782"/>
      <c r="B209" s="383" t="s">
        <v>258</v>
      </c>
      <c r="C209" s="343"/>
      <c r="D209" s="343">
        <v>240</v>
      </c>
      <c r="E209" s="343">
        <v>240</v>
      </c>
      <c r="F209" s="340">
        <f>11.1*E209/100</f>
        <v>26.64</v>
      </c>
      <c r="G209" s="340">
        <f>8*E209/100</f>
        <v>19.2</v>
      </c>
      <c r="H209" s="340">
        <f>15*E209/100</f>
        <v>36</v>
      </c>
      <c r="I209" s="345">
        <f>174.6*E209/100</f>
        <v>419.04</v>
      </c>
      <c r="J209" s="346">
        <f>3.8*E209/100</f>
        <v>9.1199999999999992</v>
      </c>
      <c r="K209" s="480"/>
      <c r="L209" s="785"/>
      <c r="M209" s="64"/>
      <c r="N209" s="114">
        <v>27.17</v>
      </c>
      <c r="O209" s="68">
        <f>SUM(N209*D209)/1000</f>
        <v>6.5208000000000004</v>
      </c>
    </row>
    <row r="210" spans="1:15" x14ac:dyDescent="0.25">
      <c r="A210" s="782"/>
      <c r="B210" s="383" t="s">
        <v>244</v>
      </c>
      <c r="C210" s="343"/>
      <c r="D210" s="343">
        <v>8</v>
      </c>
      <c r="E210" s="343">
        <v>8</v>
      </c>
      <c r="F210" s="340">
        <f>2.5*E210/100</f>
        <v>0.2</v>
      </c>
      <c r="G210" s="340">
        <f>15*E210/100</f>
        <v>1.2</v>
      </c>
      <c r="H210" s="340">
        <f>3.4*E210/100</f>
        <v>0.27200000000000002</v>
      </c>
      <c r="I210" s="345">
        <f>206*E210/100</f>
        <v>16.48</v>
      </c>
      <c r="J210" s="346">
        <f>0.3*E210/100</f>
        <v>2.4E-2</v>
      </c>
      <c r="K210" s="480"/>
      <c r="L210" s="785"/>
      <c r="M210" s="64"/>
      <c r="N210" s="114">
        <v>376.98</v>
      </c>
      <c r="O210" s="68">
        <f>SUM(N210*D210)/1000</f>
        <v>3.0158400000000003</v>
      </c>
    </row>
    <row r="211" spans="1:15" x14ac:dyDescent="0.25">
      <c r="A211" s="782"/>
      <c r="B211" s="203"/>
      <c r="C211" s="204"/>
      <c r="D211" s="205"/>
      <c r="E211" s="205"/>
      <c r="F211" s="118">
        <f>SUM(F204:F210)</f>
        <v>29.264099999999999</v>
      </c>
      <c r="G211" s="118">
        <f>SUM(G204:G210)</f>
        <v>20.82</v>
      </c>
      <c r="H211" s="118">
        <f>SUM(H204:H210)</f>
        <v>55.067299999999996</v>
      </c>
      <c r="I211" s="118">
        <f>SUM(I204:I210)</f>
        <v>524.96400000000006</v>
      </c>
      <c r="J211" s="119">
        <f>SUM(J204:J210)</f>
        <v>33.134</v>
      </c>
      <c r="K211" s="153"/>
      <c r="L211" s="785"/>
      <c r="M211" s="64"/>
      <c r="N211" s="65"/>
      <c r="O211" s="72">
        <f>SUM(O204:O210)</f>
        <v>13.621440000000002</v>
      </c>
    </row>
    <row r="212" spans="1:15" ht="27.75" customHeight="1" x14ac:dyDescent="0.25">
      <c r="A212" s="782"/>
      <c r="B212" s="384" t="s">
        <v>259</v>
      </c>
      <c r="C212" s="363">
        <v>60</v>
      </c>
      <c r="D212" s="340"/>
      <c r="E212" s="340"/>
      <c r="F212" s="432" t="s">
        <v>48</v>
      </c>
      <c r="G212" s="432" t="s">
        <v>48</v>
      </c>
      <c r="H212" s="432" t="s">
        <v>48</v>
      </c>
      <c r="I212" s="432" t="s">
        <v>48</v>
      </c>
      <c r="J212" s="432" t="s">
        <v>48</v>
      </c>
      <c r="K212" s="479" t="s">
        <v>316</v>
      </c>
      <c r="L212" s="785"/>
      <c r="M212" s="64">
        <v>70</v>
      </c>
      <c r="N212" s="65"/>
      <c r="O212" s="64"/>
    </row>
    <row r="213" spans="1:15" x14ac:dyDescent="0.25">
      <c r="A213" s="782"/>
      <c r="B213" s="382" t="s">
        <v>260</v>
      </c>
      <c r="C213" s="343"/>
      <c r="D213" s="340">
        <v>105</v>
      </c>
      <c r="E213" s="340">
        <v>75.2</v>
      </c>
      <c r="F213" s="340">
        <f>E213*18.7/100</f>
        <v>14.0624</v>
      </c>
      <c r="G213" s="340">
        <f>16.1*E213/100</f>
        <v>12.107200000000002</v>
      </c>
      <c r="H213" s="340">
        <v>0</v>
      </c>
      <c r="I213" s="345">
        <f>220*E213/100</f>
        <v>165.44</v>
      </c>
      <c r="J213" s="346">
        <f>2*E213/100</f>
        <v>1.504</v>
      </c>
      <c r="K213" s="480"/>
      <c r="L213" s="785"/>
      <c r="M213" s="64"/>
      <c r="N213" s="114">
        <v>136.62</v>
      </c>
      <c r="O213" s="68">
        <f>SUM(N213*D213)/1000</f>
        <v>14.3451</v>
      </c>
    </row>
    <row r="214" spans="1:15" ht="15" customHeight="1" x14ac:dyDescent="0.25">
      <c r="A214" s="782"/>
      <c r="B214" s="382" t="s">
        <v>239</v>
      </c>
      <c r="C214" s="343"/>
      <c r="D214" s="340">
        <v>2</v>
      </c>
      <c r="E214" s="340">
        <v>1.6</v>
      </c>
      <c r="F214" s="340">
        <f>1.4*E214/100</f>
        <v>2.2399999999999996E-2</v>
      </c>
      <c r="G214" s="340">
        <v>0</v>
      </c>
      <c r="H214" s="340">
        <f>8.2*E214/100</f>
        <v>0.13119999999999998</v>
      </c>
      <c r="I214" s="345">
        <f>41*E214/100</f>
        <v>0.65600000000000014</v>
      </c>
      <c r="J214" s="346">
        <f>10*E214/100</f>
        <v>0.16</v>
      </c>
      <c r="K214" s="480"/>
      <c r="L214" s="785"/>
      <c r="M214" s="64"/>
      <c r="N214" s="114">
        <v>35</v>
      </c>
      <c r="O214" s="68">
        <f>SUM(N214*D214)/1000</f>
        <v>7.0000000000000007E-2</v>
      </c>
    </row>
    <row r="215" spans="1:15" x14ac:dyDescent="0.25">
      <c r="A215" s="782"/>
      <c r="B215" s="382" t="s">
        <v>231</v>
      </c>
      <c r="C215" s="343"/>
      <c r="D215" s="340">
        <v>1</v>
      </c>
      <c r="E215" s="340">
        <v>1</v>
      </c>
      <c r="F215" s="340">
        <v>0</v>
      </c>
      <c r="G215" s="340">
        <v>0</v>
      </c>
      <c r="H215" s="340">
        <v>0</v>
      </c>
      <c r="I215" s="345">
        <v>0</v>
      </c>
      <c r="J215" s="346">
        <v>0</v>
      </c>
      <c r="K215" s="480"/>
      <c r="L215" s="785"/>
      <c r="M215" s="64"/>
      <c r="N215" s="114">
        <v>43.22</v>
      </c>
      <c r="O215" s="68">
        <f>SUM(N215*D215)/1000</f>
        <v>4.3220000000000001E-2</v>
      </c>
    </row>
    <row r="216" spans="1:15" x14ac:dyDescent="0.25">
      <c r="A216" s="782"/>
      <c r="B216" s="96"/>
      <c r="C216" s="96"/>
      <c r="D216" s="63"/>
      <c r="E216" s="63"/>
      <c r="F216" s="430">
        <f>SUM(F213:F215)</f>
        <v>14.0848</v>
      </c>
      <c r="G216" s="430">
        <f>SUM(G213:G215)</f>
        <v>12.107200000000002</v>
      </c>
      <c r="H216" s="430">
        <f>SUM(H213:H215)</f>
        <v>0.13119999999999998</v>
      </c>
      <c r="I216" s="430">
        <f>SUM(I213:I215)</f>
        <v>166.096</v>
      </c>
      <c r="J216" s="430">
        <f>SUM(J213:J215)</f>
        <v>1.6639999999999999</v>
      </c>
      <c r="K216" s="126"/>
      <c r="L216" s="785"/>
      <c r="M216" s="64"/>
      <c r="N216" s="114"/>
      <c r="O216" s="72">
        <f>SUM(O213:O215)</f>
        <v>14.458320000000001</v>
      </c>
    </row>
    <row r="217" spans="1:15" x14ac:dyDescent="0.25">
      <c r="A217" s="782"/>
      <c r="B217" s="338" t="s">
        <v>289</v>
      </c>
      <c r="C217" s="341">
        <v>120</v>
      </c>
      <c r="D217" s="340"/>
      <c r="E217" s="340"/>
      <c r="F217" s="431">
        <f>F218+F219+F220+F221+F222+F223+F224+F225+F226+F227</f>
        <v>4.2063999999999995</v>
      </c>
      <c r="G217" s="431">
        <f>G218+G219+G220+G221+G222+G223+G224+G225+G226+G227</f>
        <v>6.25</v>
      </c>
      <c r="H217" s="431">
        <f>H218+H219+H220+H221+H222+H223+H224+H225+H226+H227</f>
        <v>16.784599999999998</v>
      </c>
      <c r="I217" s="431">
        <f>I218+I219+I220+I221+I222+I223+I224+I225+I226+I227</f>
        <v>142.036</v>
      </c>
      <c r="J217" s="431">
        <f>J218+J219+J220+J221+J222+J223+J224+J225+J226+J227</f>
        <v>97.905000000000015</v>
      </c>
      <c r="K217" s="486" t="s">
        <v>290</v>
      </c>
      <c r="L217" s="785"/>
      <c r="M217" s="64">
        <v>150</v>
      </c>
      <c r="N217" s="65"/>
      <c r="O217" s="64"/>
    </row>
    <row r="218" spans="1:15" ht="30" x14ac:dyDescent="0.25">
      <c r="A218" s="782"/>
      <c r="B218" s="342" t="s">
        <v>236</v>
      </c>
      <c r="C218" s="343"/>
      <c r="D218" s="340">
        <v>170.4</v>
      </c>
      <c r="E218" s="340">
        <v>136.80000000000001</v>
      </c>
      <c r="F218" s="340">
        <v>3.8</v>
      </c>
      <c r="G218" s="340">
        <v>0.21</v>
      </c>
      <c r="H218" s="340">
        <v>10.01</v>
      </c>
      <c r="I218" s="345">
        <v>59.6</v>
      </c>
      <c r="J218" s="346">
        <v>95.9</v>
      </c>
      <c r="K218" s="486"/>
      <c r="L218" s="785"/>
      <c r="M218" s="64"/>
      <c r="N218" s="114">
        <v>21.89</v>
      </c>
      <c r="O218" s="68">
        <f>SUM(N218*D218)/1000</f>
        <v>3.7300560000000003</v>
      </c>
    </row>
    <row r="219" spans="1:15" x14ac:dyDescent="0.25">
      <c r="A219" s="782"/>
      <c r="B219" s="342" t="s">
        <v>240</v>
      </c>
      <c r="C219" s="343"/>
      <c r="D219" s="340">
        <v>2.9</v>
      </c>
      <c r="E219" s="340">
        <v>2.9</v>
      </c>
      <c r="F219" s="340">
        <f>4.8*E219/100</f>
        <v>0.13919999999999999</v>
      </c>
      <c r="G219" s="340">
        <v>0</v>
      </c>
      <c r="H219" s="340">
        <f>19*E219/100</f>
        <v>0.55100000000000005</v>
      </c>
      <c r="I219" s="345">
        <f>102*E219/100</f>
        <v>2.9580000000000002</v>
      </c>
      <c r="J219" s="346">
        <f>45*E219/100</f>
        <v>1.3049999999999999</v>
      </c>
      <c r="K219" s="486"/>
      <c r="L219" s="785"/>
      <c r="M219" s="64"/>
      <c r="N219" s="114">
        <v>43.22</v>
      </c>
      <c r="O219" s="68">
        <f>SUM(N219*D219)/1000</f>
        <v>0.125338</v>
      </c>
    </row>
    <row r="220" spans="1:15" x14ac:dyDescent="0.25">
      <c r="A220" s="782"/>
      <c r="B220" s="342" t="s">
        <v>239</v>
      </c>
      <c r="C220" s="343"/>
      <c r="D220" s="340">
        <v>6</v>
      </c>
      <c r="E220" s="340">
        <v>4.8</v>
      </c>
      <c r="F220" s="340">
        <f>1.4*E220/100</f>
        <v>6.7199999999999996E-2</v>
      </c>
      <c r="G220" s="340">
        <v>0</v>
      </c>
      <c r="H220" s="340">
        <f>8.2*E220/100</f>
        <v>0.39359999999999995</v>
      </c>
      <c r="I220" s="345">
        <f>41*E220/100</f>
        <v>1.9679999999999997</v>
      </c>
      <c r="J220" s="346">
        <f>10*E220/100</f>
        <v>0.48</v>
      </c>
      <c r="K220" s="486"/>
      <c r="L220" s="785"/>
      <c r="M220" s="64"/>
      <c r="N220" s="144">
        <v>376.98</v>
      </c>
      <c r="O220" s="68">
        <f>SUM(N220*D220)/1000</f>
        <v>2.2618800000000001</v>
      </c>
    </row>
    <row r="221" spans="1:15" x14ac:dyDescent="0.25">
      <c r="A221" s="782"/>
      <c r="B221" s="342" t="s">
        <v>238</v>
      </c>
      <c r="C221" s="343"/>
      <c r="D221" s="340">
        <v>3.6</v>
      </c>
      <c r="E221" s="340">
        <v>3</v>
      </c>
      <c r="F221" s="340">
        <v>0.05</v>
      </c>
      <c r="G221" s="340">
        <v>0.04</v>
      </c>
      <c r="H221" s="340">
        <v>0.31</v>
      </c>
      <c r="I221" s="345">
        <v>1.6</v>
      </c>
      <c r="J221" s="346">
        <v>0.22</v>
      </c>
      <c r="K221" s="486"/>
      <c r="L221" s="785"/>
      <c r="M221" s="64"/>
      <c r="N221" s="114">
        <v>16.62</v>
      </c>
      <c r="O221" s="68">
        <v>0</v>
      </c>
    </row>
    <row r="222" spans="1:15" x14ac:dyDescent="0.25">
      <c r="A222" s="782"/>
      <c r="B222" s="402" t="s">
        <v>291</v>
      </c>
      <c r="C222" s="354"/>
      <c r="D222" s="340">
        <v>1.2</v>
      </c>
      <c r="E222" s="340">
        <v>1.2</v>
      </c>
      <c r="F222" s="340">
        <v>0.15</v>
      </c>
      <c r="G222" s="340">
        <v>0.01</v>
      </c>
      <c r="H222" s="340">
        <v>1.03</v>
      </c>
      <c r="I222" s="345">
        <v>5.01</v>
      </c>
      <c r="J222" s="346">
        <v>0</v>
      </c>
      <c r="K222" s="486"/>
      <c r="L222" s="785"/>
      <c r="M222" s="64"/>
      <c r="N222" s="114"/>
      <c r="O222" s="68"/>
    </row>
    <row r="223" spans="1:15" x14ac:dyDescent="0.25">
      <c r="A223" s="782"/>
      <c r="B223" s="407" t="s">
        <v>241</v>
      </c>
      <c r="C223" s="408"/>
      <c r="D223" s="391">
        <v>4.8</v>
      </c>
      <c r="E223" s="340">
        <v>4.8</v>
      </c>
      <c r="F223" s="391">
        <v>0</v>
      </c>
      <c r="G223" s="391">
        <v>5.99</v>
      </c>
      <c r="H223" s="391">
        <v>0</v>
      </c>
      <c r="I223" s="392">
        <v>53.9</v>
      </c>
      <c r="J223" s="393">
        <v>0</v>
      </c>
      <c r="K223" s="487"/>
      <c r="L223" s="785"/>
      <c r="M223" s="64"/>
      <c r="N223" s="114"/>
      <c r="O223" s="68"/>
    </row>
    <row r="224" spans="1:15" x14ac:dyDescent="0.25">
      <c r="A224" s="782"/>
      <c r="B224" s="407" t="s">
        <v>231</v>
      </c>
      <c r="C224" s="408"/>
      <c r="D224" s="391">
        <v>0.4</v>
      </c>
      <c r="E224" s="340">
        <v>0.4</v>
      </c>
      <c r="F224" s="391">
        <v>0</v>
      </c>
      <c r="G224" s="391">
        <v>0</v>
      </c>
      <c r="H224" s="391">
        <v>0</v>
      </c>
      <c r="I224" s="392">
        <v>0</v>
      </c>
      <c r="J224" s="393">
        <v>0</v>
      </c>
      <c r="K224" s="487"/>
      <c r="L224" s="785"/>
      <c r="M224" s="64"/>
      <c r="N224" s="114"/>
      <c r="O224" s="68"/>
    </row>
    <row r="225" spans="1:15" x14ac:dyDescent="0.25">
      <c r="A225" s="782"/>
      <c r="B225" s="407" t="s">
        <v>242</v>
      </c>
      <c r="C225" s="408"/>
      <c r="D225" s="391">
        <v>0.01</v>
      </c>
      <c r="E225" s="340">
        <v>0.01</v>
      </c>
      <c r="F225" s="391">
        <v>0</v>
      </c>
      <c r="G225" s="391">
        <v>0</v>
      </c>
      <c r="H225" s="391">
        <v>0</v>
      </c>
      <c r="I225" s="392">
        <v>0</v>
      </c>
      <c r="J225" s="393">
        <v>0</v>
      </c>
      <c r="K225" s="487"/>
      <c r="L225" s="785"/>
      <c r="M225" s="64"/>
      <c r="N225" s="114"/>
      <c r="O225" s="68"/>
    </row>
    <row r="226" spans="1:15" x14ac:dyDescent="0.25">
      <c r="A226" s="782"/>
      <c r="B226" s="407" t="s">
        <v>292</v>
      </c>
      <c r="C226" s="408"/>
      <c r="D226" s="391">
        <v>3.6</v>
      </c>
      <c r="E226" s="340">
        <v>3.6</v>
      </c>
      <c r="F226" s="391">
        <v>0</v>
      </c>
      <c r="G226" s="391">
        <v>0</v>
      </c>
      <c r="H226" s="391">
        <v>4.49</v>
      </c>
      <c r="I226" s="392">
        <v>17</v>
      </c>
      <c r="J226" s="393">
        <v>0</v>
      </c>
      <c r="K226" s="487"/>
      <c r="L226" s="785"/>
      <c r="M226" s="64"/>
      <c r="N226" s="114"/>
      <c r="O226" s="68"/>
    </row>
    <row r="227" spans="1:15" x14ac:dyDescent="0.25">
      <c r="A227" s="782"/>
      <c r="B227" s="407" t="s">
        <v>293</v>
      </c>
      <c r="C227" s="408"/>
      <c r="D227" s="391">
        <v>3.6</v>
      </c>
      <c r="E227" s="340">
        <v>3.6</v>
      </c>
      <c r="F227" s="391">
        <v>0</v>
      </c>
      <c r="G227" s="391">
        <v>0</v>
      </c>
      <c r="H227" s="391">
        <v>0</v>
      </c>
      <c r="I227" s="392">
        <v>0</v>
      </c>
      <c r="J227" s="393">
        <v>0</v>
      </c>
      <c r="K227" s="487"/>
      <c r="L227" s="785"/>
      <c r="M227" s="64"/>
      <c r="N227" s="114"/>
      <c r="O227" s="68"/>
    </row>
    <row r="228" spans="1:15" x14ac:dyDescent="0.25">
      <c r="A228" s="782"/>
      <c r="B228" s="116"/>
      <c r="C228" s="107"/>
      <c r="D228" s="63"/>
      <c r="E228" s="63"/>
      <c r="F228" s="118">
        <f>SUM(F218:F221)</f>
        <v>4.0563999999999991</v>
      </c>
      <c r="G228" s="118">
        <f>SUM(G218:G221)</f>
        <v>0.25</v>
      </c>
      <c r="H228" s="118">
        <f>SUM(H218:H221)</f>
        <v>11.2646</v>
      </c>
      <c r="I228" s="118">
        <f>SUM(I218:I221)</f>
        <v>66.125999999999991</v>
      </c>
      <c r="J228" s="119">
        <f>SUM(J218:J221)</f>
        <v>97.905000000000015</v>
      </c>
      <c r="K228" s="156"/>
      <c r="L228" s="785"/>
      <c r="M228" s="64"/>
      <c r="N228" s="65"/>
      <c r="O228" s="72">
        <f>SUM(O218:O221)</f>
        <v>6.1172740000000001</v>
      </c>
    </row>
    <row r="229" spans="1:15" hidden="1" x14ac:dyDescent="0.25">
      <c r="A229" s="782"/>
      <c r="B229" s="177"/>
      <c r="C229" s="178"/>
      <c r="D229" s="52"/>
      <c r="E229" s="52"/>
      <c r="F229" s="51"/>
      <c r="G229" s="51"/>
      <c r="H229" s="51"/>
      <c r="I229" s="51"/>
      <c r="J229" s="53"/>
      <c r="K229" s="125"/>
      <c r="L229" s="785"/>
      <c r="M229" s="64"/>
      <c r="N229" s="65"/>
      <c r="O229" s="64">
        <f t="shared" ref="O229:O241" si="19">SUM(N229*D229)/1000</f>
        <v>0</v>
      </c>
    </row>
    <row r="230" spans="1:15" hidden="1" x14ac:dyDescent="0.25">
      <c r="A230" s="782"/>
      <c r="B230" s="177"/>
      <c r="C230" s="178"/>
      <c r="D230" s="52"/>
      <c r="E230" s="52"/>
      <c r="F230" s="51"/>
      <c r="G230" s="51"/>
      <c r="H230" s="51"/>
      <c r="I230" s="51"/>
      <c r="J230" s="53"/>
      <c r="K230" s="125"/>
      <c r="L230" s="785"/>
      <c r="M230" s="64"/>
      <c r="N230" s="65"/>
      <c r="O230" s="64">
        <f t="shared" si="19"/>
        <v>0</v>
      </c>
    </row>
    <row r="231" spans="1:15" hidden="1" x14ac:dyDescent="0.25">
      <c r="A231" s="782"/>
      <c r="B231" s="157"/>
      <c r="C231" s="157"/>
      <c r="D231" s="51"/>
      <c r="E231" s="51"/>
      <c r="F231" s="51"/>
      <c r="G231" s="51"/>
      <c r="H231" s="51"/>
      <c r="I231" s="51"/>
      <c r="J231" s="53"/>
      <c r="K231" s="126"/>
      <c r="L231" s="785"/>
      <c r="M231" s="64"/>
      <c r="N231" s="65"/>
      <c r="O231" s="64">
        <f t="shared" si="19"/>
        <v>0</v>
      </c>
    </row>
    <row r="232" spans="1:15" hidden="1" x14ac:dyDescent="0.25">
      <c r="A232" s="782"/>
      <c r="B232" s="157"/>
      <c r="C232" s="157"/>
      <c r="D232" s="51"/>
      <c r="E232" s="51"/>
      <c r="F232" s="51"/>
      <c r="G232" s="51"/>
      <c r="H232" s="51"/>
      <c r="I232" s="51"/>
      <c r="J232" s="53"/>
      <c r="K232" s="126"/>
      <c r="L232" s="785"/>
      <c r="M232" s="64"/>
      <c r="N232" s="65"/>
      <c r="O232" s="64">
        <f t="shared" si="19"/>
        <v>0</v>
      </c>
    </row>
    <row r="233" spans="1:15" hidden="1" x14ac:dyDescent="0.25">
      <c r="A233" s="782"/>
      <c r="B233" s="157"/>
      <c r="C233" s="157"/>
      <c r="D233" s="51"/>
      <c r="E233" s="51"/>
      <c r="F233" s="51"/>
      <c r="G233" s="51"/>
      <c r="H233" s="51"/>
      <c r="I233" s="51"/>
      <c r="J233" s="53"/>
      <c r="K233" s="126"/>
      <c r="L233" s="785"/>
      <c r="M233" s="64"/>
      <c r="N233" s="65"/>
      <c r="O233" s="64">
        <f t="shared" si="19"/>
        <v>0</v>
      </c>
    </row>
    <row r="234" spans="1:15" hidden="1" x14ac:dyDescent="0.25">
      <c r="A234" s="782"/>
      <c r="B234" s="157"/>
      <c r="C234" s="157"/>
      <c r="D234" s="51"/>
      <c r="E234" s="51"/>
      <c r="F234" s="52"/>
      <c r="G234" s="52"/>
      <c r="H234" s="52"/>
      <c r="I234" s="52"/>
      <c r="J234" s="179"/>
      <c r="K234" s="156"/>
      <c r="L234" s="785"/>
      <c r="M234" s="64"/>
      <c r="N234" s="65"/>
      <c r="O234" s="64">
        <f t="shared" si="19"/>
        <v>0</v>
      </c>
    </row>
    <row r="235" spans="1:15" hidden="1" x14ac:dyDescent="0.25">
      <c r="A235" s="782"/>
      <c r="B235" s="177"/>
      <c r="C235" s="178"/>
      <c r="D235" s="52"/>
      <c r="E235" s="52"/>
      <c r="F235" s="51"/>
      <c r="G235" s="51"/>
      <c r="H235" s="51"/>
      <c r="I235" s="51"/>
      <c r="J235" s="53"/>
      <c r="K235" s="125"/>
      <c r="L235" s="785"/>
      <c r="M235" s="64"/>
      <c r="N235" s="65"/>
      <c r="O235" s="64">
        <f t="shared" si="19"/>
        <v>0</v>
      </c>
    </row>
    <row r="236" spans="1:15" hidden="1" x14ac:dyDescent="0.25">
      <c r="A236" s="782"/>
      <c r="B236" s="177"/>
      <c r="C236" s="178"/>
      <c r="D236" s="52"/>
      <c r="E236" s="52"/>
      <c r="F236" s="51"/>
      <c r="G236" s="51"/>
      <c r="H236" s="51"/>
      <c r="I236" s="51"/>
      <c r="J236" s="53"/>
      <c r="K236" s="125"/>
      <c r="L236" s="785"/>
      <c r="M236" s="64"/>
      <c r="N236" s="65"/>
      <c r="O236" s="64">
        <f t="shared" si="19"/>
        <v>0</v>
      </c>
    </row>
    <row r="237" spans="1:15" hidden="1" x14ac:dyDescent="0.25">
      <c r="A237" s="782"/>
      <c r="B237" s="157"/>
      <c r="C237" s="157"/>
      <c r="D237" s="51"/>
      <c r="E237" s="51"/>
      <c r="F237" s="51"/>
      <c r="G237" s="51"/>
      <c r="H237" s="51"/>
      <c r="I237" s="51"/>
      <c r="J237" s="53"/>
      <c r="K237" s="126"/>
      <c r="L237" s="785"/>
      <c r="M237" s="64"/>
      <c r="N237" s="65"/>
      <c r="O237" s="64">
        <f t="shared" si="19"/>
        <v>0</v>
      </c>
    </row>
    <row r="238" spans="1:15" hidden="1" x14ac:dyDescent="0.25">
      <c r="A238" s="782"/>
      <c r="B238" s="157"/>
      <c r="C238" s="157"/>
      <c r="D238" s="51"/>
      <c r="E238" s="51"/>
      <c r="F238" s="51"/>
      <c r="G238" s="51"/>
      <c r="H238" s="51"/>
      <c r="I238" s="51"/>
      <c r="J238" s="53"/>
      <c r="K238" s="126"/>
      <c r="L238" s="785"/>
      <c r="M238" s="64"/>
      <c r="N238" s="65"/>
      <c r="O238" s="64">
        <f t="shared" si="19"/>
        <v>0</v>
      </c>
    </row>
    <row r="239" spans="1:15" hidden="1" x14ac:dyDescent="0.25">
      <c r="A239" s="782"/>
      <c r="B239" s="157"/>
      <c r="C239" s="157"/>
      <c r="D239" s="51"/>
      <c r="E239" s="51"/>
      <c r="F239" s="51"/>
      <c r="G239" s="51"/>
      <c r="H239" s="51"/>
      <c r="I239" s="51"/>
      <c r="J239" s="53"/>
      <c r="K239" s="126"/>
      <c r="L239" s="785"/>
      <c r="M239" s="64"/>
      <c r="N239" s="65"/>
      <c r="O239" s="64">
        <f t="shared" si="19"/>
        <v>0</v>
      </c>
    </row>
    <row r="240" spans="1:15" hidden="1" x14ac:dyDescent="0.25">
      <c r="A240" s="782"/>
      <c r="B240" s="157"/>
      <c r="C240" s="157"/>
      <c r="D240" s="51"/>
      <c r="E240" s="51"/>
      <c r="F240" s="51"/>
      <c r="G240" s="51"/>
      <c r="H240" s="51"/>
      <c r="I240" s="51"/>
      <c r="J240" s="53"/>
      <c r="K240" s="126"/>
      <c r="L240" s="785"/>
      <c r="M240" s="64"/>
      <c r="N240" s="65"/>
      <c r="O240" s="64">
        <f t="shared" si="19"/>
        <v>0</v>
      </c>
    </row>
    <row r="241" spans="1:15" hidden="1" x14ac:dyDescent="0.25">
      <c r="A241" s="782"/>
      <c r="B241" s="177"/>
      <c r="C241" s="178"/>
      <c r="D241" s="52"/>
      <c r="E241" s="52"/>
      <c r="F241" s="52"/>
      <c r="G241" s="52"/>
      <c r="H241" s="52"/>
      <c r="I241" s="52"/>
      <c r="J241" s="179"/>
      <c r="K241" s="156"/>
      <c r="L241" s="785"/>
      <c r="M241" s="64"/>
      <c r="N241" s="65"/>
      <c r="O241" s="64">
        <f t="shared" si="19"/>
        <v>0</v>
      </c>
    </row>
    <row r="242" spans="1:15" ht="30" x14ac:dyDescent="0.25">
      <c r="A242" s="782"/>
      <c r="B242" s="138" t="s">
        <v>180</v>
      </c>
      <c r="C242" s="124">
        <v>180</v>
      </c>
      <c r="D242" s="13"/>
      <c r="E242" s="13"/>
      <c r="F242" s="63"/>
      <c r="G242" s="63"/>
      <c r="H242" s="63"/>
      <c r="I242" s="63"/>
      <c r="J242" s="96"/>
      <c r="K242" s="108" t="s">
        <v>181</v>
      </c>
      <c r="L242" s="785"/>
      <c r="M242" s="65">
        <v>180</v>
      </c>
      <c r="N242" s="65"/>
      <c r="O242" s="64"/>
    </row>
    <row r="243" spans="1:15" ht="19.5" customHeight="1" x14ac:dyDescent="0.25">
      <c r="A243" s="782"/>
      <c r="B243" s="107" t="s">
        <v>182</v>
      </c>
      <c r="C243" s="107"/>
      <c r="D243" s="63">
        <v>18</v>
      </c>
      <c r="E243" s="63" t="s">
        <v>183</v>
      </c>
      <c r="F243" s="63">
        <v>0.93600000000000005</v>
      </c>
      <c r="G243" s="63">
        <v>5.3999999999999999E-2</v>
      </c>
      <c r="H243" s="63">
        <v>9.18</v>
      </c>
      <c r="I243" s="63">
        <v>41.76</v>
      </c>
      <c r="J243" s="96">
        <v>0.72</v>
      </c>
      <c r="K243" s="136"/>
      <c r="L243" s="785"/>
      <c r="M243" s="64"/>
      <c r="N243" s="114">
        <v>100</v>
      </c>
      <c r="O243" s="64">
        <f>SUM(N243*D243)/1000</f>
        <v>1.8</v>
      </c>
    </row>
    <row r="244" spans="1:15" x14ac:dyDescent="0.25">
      <c r="A244" s="782"/>
      <c r="B244" s="107" t="s">
        <v>38</v>
      </c>
      <c r="C244" s="107"/>
      <c r="D244" s="63">
        <v>14.4</v>
      </c>
      <c r="E244" s="63">
        <v>14.4</v>
      </c>
      <c r="F244" s="63">
        <v>0</v>
      </c>
      <c r="G244" s="63">
        <v>0</v>
      </c>
      <c r="H244" s="63">
        <v>14.371</v>
      </c>
      <c r="I244" s="63">
        <v>54.576000000000001</v>
      </c>
      <c r="J244" s="96">
        <v>0</v>
      </c>
      <c r="K244" s="136"/>
      <c r="L244" s="785"/>
      <c r="M244" s="64"/>
      <c r="N244" s="114">
        <v>50.7</v>
      </c>
      <c r="O244" s="68">
        <f>SUM(N244*D244)/1000</f>
        <v>0.73008000000000006</v>
      </c>
    </row>
    <row r="245" spans="1:15" x14ac:dyDescent="0.25">
      <c r="A245" s="782"/>
      <c r="B245" s="107" t="s">
        <v>19</v>
      </c>
      <c r="C245" s="107"/>
      <c r="D245" s="63">
        <v>182.7</v>
      </c>
      <c r="E245" s="63">
        <v>182.7</v>
      </c>
      <c r="F245" s="63">
        <v>0</v>
      </c>
      <c r="G245" s="63">
        <v>0</v>
      </c>
      <c r="H245" s="63">
        <v>0</v>
      </c>
      <c r="I245" s="63">
        <v>0</v>
      </c>
      <c r="J245" s="96">
        <v>0</v>
      </c>
      <c r="K245" s="136"/>
      <c r="L245" s="785"/>
      <c r="M245" s="64"/>
      <c r="N245" s="114">
        <v>0</v>
      </c>
      <c r="O245" s="64">
        <f>SUM(N245*D245)/1000</f>
        <v>0</v>
      </c>
    </row>
    <row r="246" spans="1:15" x14ac:dyDescent="0.25">
      <c r="A246" s="782"/>
      <c r="B246" s="107"/>
      <c r="C246" s="107"/>
      <c r="D246" s="63"/>
      <c r="E246" s="63"/>
      <c r="F246" s="118">
        <f>SUM(F243:F245)</f>
        <v>0.93600000000000005</v>
      </c>
      <c r="G246" s="118">
        <f t="shared" ref="G246:J246" si="20">SUM(G243:G245)</f>
        <v>5.3999999999999999E-2</v>
      </c>
      <c r="H246" s="118">
        <f t="shared" si="20"/>
        <v>23.551000000000002</v>
      </c>
      <c r="I246" s="118">
        <f t="shared" si="20"/>
        <v>96.335999999999999</v>
      </c>
      <c r="J246" s="118">
        <f t="shared" si="20"/>
        <v>0.72</v>
      </c>
      <c r="K246" s="153"/>
      <c r="L246" s="785"/>
      <c r="M246" s="64"/>
      <c r="N246" s="47"/>
      <c r="O246" s="72">
        <f>SUM(O243:O245)</f>
        <v>2.5300799999999999</v>
      </c>
    </row>
    <row r="247" spans="1:15" x14ac:dyDescent="0.25">
      <c r="A247" s="782"/>
      <c r="B247" s="291" t="s">
        <v>40</v>
      </c>
      <c r="C247" s="124">
        <v>70</v>
      </c>
      <c r="D247" s="63">
        <v>70</v>
      </c>
      <c r="E247" s="63">
        <v>70</v>
      </c>
      <c r="F247" s="118">
        <v>3.85</v>
      </c>
      <c r="G247" s="118">
        <v>1.5</v>
      </c>
      <c r="H247" s="118">
        <v>24.9</v>
      </c>
      <c r="I247" s="118">
        <v>131</v>
      </c>
      <c r="J247" s="139">
        <v>0</v>
      </c>
      <c r="K247" s="153" t="s">
        <v>73</v>
      </c>
      <c r="L247" s="785"/>
      <c r="M247" s="64">
        <v>40</v>
      </c>
      <c r="N247" s="114">
        <v>35</v>
      </c>
      <c r="O247" s="72">
        <f>SUM(N247*D247)/1000</f>
        <v>2.4500000000000002</v>
      </c>
    </row>
    <row r="248" spans="1:15" x14ac:dyDescent="0.25">
      <c r="A248" s="783"/>
      <c r="B248" s="124" t="s">
        <v>74</v>
      </c>
      <c r="C248" s="124"/>
      <c r="D248" s="63"/>
      <c r="E248" s="63"/>
      <c r="F248" s="265">
        <f>SUM(F211,F216,F217,F228:F246,F247)</f>
        <v>57.3337</v>
      </c>
      <c r="G248" s="265">
        <f t="shared" ref="G248:J248" si="21">SUM(G211,G216,G217,G228:G246,G247)</f>
        <v>41.035200000000003</v>
      </c>
      <c r="H248" s="265">
        <f t="shared" si="21"/>
        <v>155.24969999999999</v>
      </c>
      <c r="I248" s="265">
        <f t="shared" si="21"/>
        <v>1222.894</v>
      </c>
      <c r="J248" s="265">
        <f t="shared" si="21"/>
        <v>232.04800000000006</v>
      </c>
      <c r="K248" s="158"/>
      <c r="L248" s="786"/>
      <c r="M248" s="69">
        <f>SUM(M203:M247)</f>
        <v>640</v>
      </c>
      <c r="N248" s="65"/>
      <c r="O248" s="265">
        <f>SUM(O211,O216,O217,O228:O246,O247)</f>
        <v>41.707194000000001</v>
      </c>
    </row>
    <row r="249" spans="1:15" ht="21.6" customHeight="1" x14ac:dyDescent="0.25">
      <c r="A249" s="456" t="s">
        <v>75</v>
      </c>
      <c r="B249" s="13"/>
      <c r="C249" s="4"/>
      <c r="D249" s="105"/>
      <c r="E249" s="106"/>
      <c r="F249" s="180"/>
      <c r="G249" s="180"/>
      <c r="H249" s="180"/>
      <c r="I249" s="180"/>
      <c r="J249" s="181"/>
      <c r="K249" s="182"/>
      <c r="L249" s="464"/>
      <c r="M249" s="64"/>
      <c r="N249" s="65"/>
      <c r="O249" s="64"/>
    </row>
    <row r="250" spans="1:15" ht="30" x14ac:dyDescent="0.25">
      <c r="A250" s="457"/>
      <c r="B250" s="375" t="s">
        <v>372</v>
      </c>
      <c r="C250" s="254">
        <v>100</v>
      </c>
      <c r="D250" s="187"/>
      <c r="E250" s="189"/>
      <c r="F250" s="187"/>
      <c r="G250" s="187"/>
      <c r="H250" s="187"/>
      <c r="I250" s="187"/>
      <c r="J250" s="188"/>
      <c r="K250" s="236" t="s">
        <v>373</v>
      </c>
      <c r="L250" s="540"/>
      <c r="M250" s="366">
        <v>130</v>
      </c>
      <c r="N250" s="365"/>
      <c r="O250" s="366"/>
    </row>
    <row r="251" spans="1:15" x14ac:dyDescent="0.25">
      <c r="A251" s="457"/>
      <c r="B251" s="376" t="s">
        <v>33</v>
      </c>
      <c r="C251" s="376"/>
      <c r="D251" s="187">
        <v>52.2</v>
      </c>
      <c r="E251" s="187">
        <v>52.2</v>
      </c>
      <c r="F251" s="187">
        <v>6.39</v>
      </c>
      <c r="G251" s="187">
        <v>0.68200000000000005</v>
      </c>
      <c r="H251" s="187">
        <v>42.81</v>
      </c>
      <c r="I251" s="187">
        <v>207.24</v>
      </c>
      <c r="J251" s="188">
        <v>0</v>
      </c>
      <c r="K251" s="190"/>
      <c r="L251" s="540"/>
      <c r="M251" s="366"/>
      <c r="N251" s="185">
        <v>27.17</v>
      </c>
      <c r="O251" s="368">
        <f>SUM(N251*D251)/1000</f>
        <v>1.418274</v>
      </c>
    </row>
    <row r="252" spans="1:15" x14ac:dyDescent="0.25">
      <c r="A252" s="457"/>
      <c r="B252" s="376" t="s">
        <v>34</v>
      </c>
      <c r="C252" s="376"/>
      <c r="D252" s="377">
        <v>2.6</v>
      </c>
      <c r="E252" s="187">
        <v>2.6</v>
      </c>
      <c r="F252" s="187">
        <v>0.38100000000000001</v>
      </c>
      <c r="G252" s="187">
        <v>0.34499999999999997</v>
      </c>
      <c r="H252" s="187">
        <v>2.1000000000000001E-2</v>
      </c>
      <c r="I252" s="187">
        <v>4.71</v>
      </c>
      <c r="J252" s="188">
        <v>0</v>
      </c>
      <c r="K252" s="190"/>
      <c r="L252" s="544"/>
      <c r="M252" s="366"/>
      <c r="N252" s="185">
        <v>4.6989999999999998</v>
      </c>
      <c r="O252" s="368">
        <f>SUM(N252*D252)/40</f>
        <v>0.30543500000000001</v>
      </c>
    </row>
    <row r="253" spans="1:15" x14ac:dyDescent="0.25">
      <c r="A253" s="457"/>
      <c r="B253" s="376" t="s">
        <v>66</v>
      </c>
      <c r="C253" s="376"/>
      <c r="D253" s="187">
        <v>52.2</v>
      </c>
      <c r="E253" s="187">
        <v>52.2</v>
      </c>
      <c r="F253" s="187">
        <v>1.7370000000000001</v>
      </c>
      <c r="G253" s="187">
        <v>1.9850000000000001</v>
      </c>
      <c r="H253" s="187">
        <v>2.9159999999999999</v>
      </c>
      <c r="I253" s="187">
        <v>35.988999999999997</v>
      </c>
      <c r="J253" s="188">
        <v>0.80600000000000005</v>
      </c>
      <c r="K253" s="190"/>
      <c r="L253" s="545"/>
      <c r="M253" s="366"/>
      <c r="N253" s="185">
        <v>43.22</v>
      </c>
      <c r="O253" s="368">
        <f t="shared" ref="O253:O259" si="22">SUM(N253*D253)/1000</f>
        <v>2.2560840000000004</v>
      </c>
    </row>
    <row r="254" spans="1:15" x14ac:dyDescent="0.25">
      <c r="A254" s="457"/>
      <c r="B254" s="376" t="s">
        <v>49</v>
      </c>
      <c r="C254" s="376"/>
      <c r="D254" s="187">
        <v>1.8</v>
      </c>
      <c r="E254" s="187">
        <v>1.8</v>
      </c>
      <c r="F254" s="187">
        <v>0</v>
      </c>
      <c r="G254" s="187">
        <v>0</v>
      </c>
      <c r="H254" s="187">
        <v>2.1949999999999998</v>
      </c>
      <c r="I254" s="187">
        <v>8.3379999999999992</v>
      </c>
      <c r="J254" s="188">
        <v>0</v>
      </c>
      <c r="K254" s="190"/>
      <c r="L254" s="540"/>
      <c r="M254" s="366"/>
      <c r="N254" s="185">
        <v>50.7</v>
      </c>
      <c r="O254" s="368">
        <f t="shared" si="22"/>
        <v>9.1260000000000008E-2</v>
      </c>
    </row>
    <row r="255" spans="1:15" x14ac:dyDescent="0.25">
      <c r="A255" s="457"/>
      <c r="B255" s="376" t="s">
        <v>37</v>
      </c>
      <c r="C255" s="376"/>
      <c r="D255" s="187">
        <v>4.5999999999999996</v>
      </c>
      <c r="E255" s="187">
        <v>4.5999999999999996</v>
      </c>
      <c r="F255" s="187">
        <v>0</v>
      </c>
      <c r="G255" s="187">
        <v>5.9939999999999998</v>
      </c>
      <c r="H255" s="187">
        <v>0</v>
      </c>
      <c r="I255" s="187">
        <v>53.94</v>
      </c>
      <c r="J255" s="188">
        <v>0</v>
      </c>
      <c r="K255" s="190"/>
      <c r="L255" s="540"/>
      <c r="M255" s="366"/>
      <c r="N255" s="185">
        <v>92.2</v>
      </c>
      <c r="O255" s="368">
        <f t="shared" si="22"/>
        <v>0.42412</v>
      </c>
    </row>
    <row r="256" spans="1:15" x14ac:dyDescent="0.25">
      <c r="A256" s="457"/>
      <c r="B256" s="376" t="s">
        <v>76</v>
      </c>
      <c r="C256" s="376"/>
      <c r="D256" s="187">
        <v>7.7</v>
      </c>
      <c r="E256" s="187">
        <v>7.7</v>
      </c>
      <c r="F256" s="187">
        <v>0.04</v>
      </c>
      <c r="G256" s="187">
        <v>0</v>
      </c>
      <c r="H256" s="187">
        <v>6.5</v>
      </c>
      <c r="I256" s="187">
        <v>25</v>
      </c>
      <c r="J256" s="188">
        <v>0.05</v>
      </c>
      <c r="K256" s="190"/>
      <c r="L256" s="540"/>
      <c r="M256" s="366"/>
      <c r="N256" s="185">
        <v>158.22999999999999</v>
      </c>
      <c r="O256" s="368">
        <f t="shared" si="22"/>
        <v>1.2183709999999999</v>
      </c>
    </row>
    <row r="257" spans="1:15" x14ac:dyDescent="0.25">
      <c r="A257" s="457"/>
      <c r="B257" s="376" t="s">
        <v>112</v>
      </c>
      <c r="C257" s="376"/>
      <c r="D257" s="187">
        <v>1</v>
      </c>
      <c r="E257" s="187">
        <v>1</v>
      </c>
      <c r="F257" s="187">
        <v>0</v>
      </c>
      <c r="G257" s="187">
        <v>0</v>
      </c>
      <c r="H257" s="187">
        <v>0</v>
      </c>
      <c r="I257" s="187">
        <v>0</v>
      </c>
      <c r="J257" s="188">
        <v>0</v>
      </c>
      <c r="K257" s="190"/>
      <c r="L257" s="540"/>
      <c r="M257" s="366"/>
      <c r="N257" s="185">
        <v>16.62</v>
      </c>
      <c r="O257" s="368">
        <f t="shared" si="22"/>
        <v>1.6619999999999999E-2</v>
      </c>
    </row>
    <row r="258" spans="1:15" x14ac:dyDescent="0.25">
      <c r="A258" s="457"/>
      <c r="B258" s="376" t="s">
        <v>77</v>
      </c>
      <c r="C258" s="376"/>
      <c r="D258" s="187">
        <v>0.4</v>
      </c>
      <c r="E258" s="187">
        <v>0.4</v>
      </c>
      <c r="F258" s="187">
        <v>0</v>
      </c>
      <c r="G258" s="187">
        <v>0</v>
      </c>
      <c r="H258" s="187">
        <v>0</v>
      </c>
      <c r="I258" s="187">
        <v>0</v>
      </c>
      <c r="J258" s="188">
        <v>0</v>
      </c>
      <c r="K258" s="190"/>
      <c r="L258" s="540"/>
      <c r="M258" s="366"/>
      <c r="N258" s="185">
        <v>400</v>
      </c>
      <c r="O258" s="368">
        <f t="shared" si="22"/>
        <v>0.16</v>
      </c>
    </row>
    <row r="259" spans="1:15" x14ac:dyDescent="0.25">
      <c r="A259" s="457"/>
      <c r="B259" s="376" t="s">
        <v>48</v>
      </c>
      <c r="C259" s="376"/>
      <c r="D259" s="187">
        <v>0</v>
      </c>
      <c r="E259" s="187">
        <v>0</v>
      </c>
      <c r="F259" s="187">
        <v>0</v>
      </c>
      <c r="G259" s="187">
        <v>0</v>
      </c>
      <c r="H259" s="187">
        <v>0</v>
      </c>
      <c r="I259" s="187">
        <v>0</v>
      </c>
      <c r="J259" s="188">
        <v>0</v>
      </c>
      <c r="K259" s="190"/>
      <c r="L259" s="553"/>
      <c r="M259" s="366"/>
      <c r="N259" s="185">
        <v>73.69</v>
      </c>
      <c r="O259" s="368">
        <f t="shared" si="22"/>
        <v>0</v>
      </c>
    </row>
    <row r="260" spans="1:15" x14ac:dyDescent="0.25">
      <c r="A260" s="457"/>
      <c r="B260" s="376"/>
      <c r="C260" s="376"/>
      <c r="D260" s="378"/>
      <c r="E260" s="187"/>
      <c r="F260" s="130">
        <f>SUM(F251:F259)</f>
        <v>8.5479999999999983</v>
      </c>
      <c r="G260" s="130">
        <f t="shared" ref="G260:J260" si="23">SUM(G251:G259)</f>
        <v>9.0060000000000002</v>
      </c>
      <c r="H260" s="130">
        <f t="shared" si="23"/>
        <v>54.442</v>
      </c>
      <c r="I260" s="130">
        <f t="shared" si="23"/>
        <v>335.21700000000004</v>
      </c>
      <c r="J260" s="130">
        <f t="shared" si="23"/>
        <v>0.85600000000000009</v>
      </c>
      <c r="K260" s="158"/>
      <c r="L260" s="465"/>
      <c r="M260" s="366"/>
      <c r="N260" s="365"/>
      <c r="O260" s="369">
        <f>SUM(O251:O259)</f>
        <v>5.8901640000000004</v>
      </c>
    </row>
    <row r="261" spans="1:15" hidden="1" x14ac:dyDescent="0.25">
      <c r="A261" s="782"/>
      <c r="B261" s="186"/>
      <c r="C261" s="186"/>
      <c r="D261" s="63"/>
      <c r="E261" s="13"/>
      <c r="F261" s="189"/>
      <c r="G261" s="189"/>
      <c r="H261" s="189"/>
      <c r="I261" s="189"/>
      <c r="J261" s="188"/>
      <c r="K261" s="190"/>
      <c r="L261" s="785"/>
      <c r="M261" s="64"/>
      <c r="N261" s="65"/>
      <c r="O261" s="64">
        <f t="shared" ref="O261:O266" si="24">SUM(N261*D261)/1000</f>
        <v>0</v>
      </c>
    </row>
    <row r="262" spans="1:15" hidden="1" x14ac:dyDescent="0.25">
      <c r="A262" s="782"/>
      <c r="B262" s="186"/>
      <c r="C262" s="186"/>
      <c r="D262" s="63"/>
      <c r="E262" s="63"/>
      <c r="F262" s="187"/>
      <c r="G262" s="187"/>
      <c r="H262" s="187"/>
      <c r="I262" s="187"/>
      <c r="J262" s="188"/>
      <c r="K262" s="190"/>
      <c r="L262" s="785"/>
      <c r="M262" s="64"/>
      <c r="N262" s="65"/>
      <c r="O262" s="64">
        <f t="shared" si="24"/>
        <v>0</v>
      </c>
    </row>
    <row r="263" spans="1:15" hidden="1" x14ac:dyDescent="0.25">
      <c r="A263" s="782"/>
      <c r="B263" s="186"/>
      <c r="C263" s="186"/>
      <c r="D263" s="63"/>
      <c r="E263" s="63"/>
      <c r="F263" s="187"/>
      <c r="G263" s="187"/>
      <c r="H263" s="187"/>
      <c r="I263" s="187"/>
      <c r="J263" s="188"/>
      <c r="K263" s="190"/>
      <c r="L263" s="785"/>
      <c r="M263" s="64"/>
      <c r="N263" s="65"/>
      <c r="O263" s="64">
        <f t="shared" si="24"/>
        <v>0</v>
      </c>
    </row>
    <row r="264" spans="1:15" hidden="1" x14ac:dyDescent="0.25">
      <c r="A264" s="782"/>
      <c r="B264" s="186"/>
      <c r="C264" s="186"/>
      <c r="D264" s="63"/>
      <c r="E264" s="63"/>
      <c r="F264" s="187"/>
      <c r="G264" s="187"/>
      <c r="H264" s="187"/>
      <c r="I264" s="187"/>
      <c r="J264" s="188"/>
      <c r="K264" s="190"/>
      <c r="L264" s="785"/>
      <c r="M264" s="64"/>
      <c r="N264" s="65"/>
      <c r="O264" s="64">
        <f t="shared" si="24"/>
        <v>0</v>
      </c>
    </row>
    <row r="265" spans="1:15" hidden="1" x14ac:dyDescent="0.25">
      <c r="A265" s="782"/>
      <c r="B265" s="186"/>
      <c r="C265" s="186"/>
      <c r="D265" s="63"/>
      <c r="E265" s="13"/>
      <c r="F265" s="130"/>
      <c r="G265" s="130"/>
      <c r="H265" s="130"/>
      <c r="I265" s="130"/>
      <c r="J265" s="131"/>
      <c r="K265" s="158"/>
      <c r="L265" s="785"/>
      <c r="M265" s="64"/>
      <c r="N265" s="65"/>
      <c r="O265" s="64">
        <f t="shared" si="24"/>
        <v>0</v>
      </c>
    </row>
    <row r="266" spans="1:15" hidden="1" x14ac:dyDescent="0.25">
      <c r="A266" s="782"/>
      <c r="B266" s="582" t="s">
        <v>184</v>
      </c>
      <c r="C266" s="124"/>
      <c r="D266" s="13">
        <v>30</v>
      </c>
      <c r="E266" s="13">
        <v>30</v>
      </c>
      <c r="F266" s="13"/>
      <c r="G266" s="13"/>
      <c r="H266" s="13"/>
      <c r="I266" s="13"/>
      <c r="J266" s="96"/>
      <c r="K266" s="125"/>
      <c r="L266" s="785"/>
      <c r="M266" s="64"/>
      <c r="N266" s="65"/>
      <c r="O266" s="64">
        <f t="shared" si="24"/>
        <v>0</v>
      </c>
    </row>
    <row r="267" spans="1:15" x14ac:dyDescent="0.25">
      <c r="A267" s="782"/>
      <c r="B267" s="582" t="s">
        <v>72</v>
      </c>
      <c r="C267" s="105" t="s">
        <v>187</v>
      </c>
      <c r="D267" s="13"/>
      <c r="E267" s="13"/>
      <c r="F267" s="13"/>
      <c r="G267" s="13"/>
      <c r="H267" s="13"/>
      <c r="I267" s="13"/>
      <c r="J267" s="96"/>
      <c r="K267" s="125" t="s">
        <v>188</v>
      </c>
      <c r="L267" s="785"/>
      <c r="M267" s="64">
        <v>197</v>
      </c>
      <c r="N267" s="65"/>
      <c r="O267" s="68"/>
    </row>
    <row r="268" spans="1:15" x14ac:dyDescent="0.25">
      <c r="A268" s="782"/>
      <c r="B268" s="582" t="s">
        <v>184</v>
      </c>
      <c r="C268" s="124"/>
      <c r="D268" s="13">
        <v>30</v>
      </c>
      <c r="E268" s="13">
        <v>30</v>
      </c>
      <c r="F268" s="13"/>
      <c r="G268" s="13"/>
      <c r="H268" s="13"/>
      <c r="I268" s="13"/>
      <c r="J268" s="96"/>
      <c r="K268" s="125"/>
      <c r="L268" s="785"/>
      <c r="M268" s="64"/>
      <c r="N268" s="79"/>
      <c r="O268" s="68"/>
    </row>
    <row r="269" spans="1:15" x14ac:dyDescent="0.25">
      <c r="A269" s="782"/>
      <c r="B269" s="107" t="s">
        <v>120</v>
      </c>
      <c r="C269" s="124"/>
      <c r="D269" s="63">
        <v>32.4</v>
      </c>
      <c r="E269" s="63">
        <v>32.4</v>
      </c>
      <c r="F269" s="63">
        <v>0</v>
      </c>
      <c r="G269" s="63">
        <v>0</v>
      </c>
      <c r="H269" s="63">
        <v>0</v>
      </c>
      <c r="I269" s="63">
        <v>0</v>
      </c>
      <c r="J269" s="96">
        <v>0</v>
      </c>
      <c r="K269" s="125"/>
      <c r="L269" s="785"/>
      <c r="M269" s="64"/>
      <c r="N269" s="114">
        <v>0</v>
      </c>
      <c r="O269" s="68">
        <f>SUM(N269*D269)/1000</f>
        <v>0</v>
      </c>
    </row>
    <row r="270" spans="1:15" x14ac:dyDescent="0.25">
      <c r="A270" s="782"/>
      <c r="B270" s="107" t="s">
        <v>185</v>
      </c>
      <c r="C270" s="107"/>
      <c r="D270" s="63">
        <v>0.3</v>
      </c>
      <c r="E270" s="63">
        <v>0.3</v>
      </c>
      <c r="F270" s="63">
        <v>0.06</v>
      </c>
      <c r="G270" s="63">
        <v>0</v>
      </c>
      <c r="H270" s="63">
        <v>2.07E-2</v>
      </c>
      <c r="I270" s="63">
        <v>0.45540000000000003</v>
      </c>
      <c r="J270" s="96">
        <v>0.03</v>
      </c>
      <c r="K270" s="126"/>
      <c r="L270" s="785"/>
      <c r="M270" s="64"/>
      <c r="N270" s="114">
        <v>400</v>
      </c>
      <c r="O270" s="68">
        <f>SUM(N270*D270)/1000</f>
        <v>0.12</v>
      </c>
    </row>
    <row r="271" spans="1:15" x14ac:dyDescent="0.25">
      <c r="A271" s="782"/>
      <c r="B271" s="107" t="s">
        <v>49</v>
      </c>
      <c r="C271" s="107"/>
      <c r="D271" s="63">
        <v>10</v>
      </c>
      <c r="E271" s="63">
        <v>10</v>
      </c>
      <c r="F271" s="63">
        <v>0</v>
      </c>
      <c r="G271" s="63">
        <v>0</v>
      </c>
      <c r="H271" s="63">
        <v>9.98</v>
      </c>
      <c r="I271" s="63">
        <v>37.9</v>
      </c>
      <c r="J271" s="96">
        <v>0</v>
      </c>
      <c r="K271" s="126"/>
      <c r="L271" s="785"/>
      <c r="M271" s="64"/>
      <c r="N271" s="114">
        <v>50.7</v>
      </c>
      <c r="O271" s="68">
        <f>SUM(N271*D271)/1000</f>
        <v>0.50700000000000001</v>
      </c>
    </row>
    <row r="272" spans="1:15" x14ac:dyDescent="0.25">
      <c r="A272" s="782"/>
      <c r="B272" s="107" t="s">
        <v>19</v>
      </c>
      <c r="C272" s="107"/>
      <c r="D272" s="63">
        <v>150</v>
      </c>
      <c r="E272" s="63">
        <v>150</v>
      </c>
      <c r="F272" s="63">
        <v>0</v>
      </c>
      <c r="G272" s="63">
        <v>0</v>
      </c>
      <c r="H272" s="63">
        <v>0</v>
      </c>
      <c r="I272" s="63">
        <v>0</v>
      </c>
      <c r="J272" s="96">
        <v>0</v>
      </c>
      <c r="K272" s="126"/>
      <c r="L272" s="785"/>
      <c r="M272" s="64"/>
      <c r="N272" s="114">
        <v>160.13999999999999</v>
      </c>
      <c r="O272" s="68">
        <f>SUM(N272*D272)/1000</f>
        <v>24.020999999999997</v>
      </c>
    </row>
    <row r="273" spans="1:15" x14ac:dyDescent="0.25">
      <c r="A273" s="782"/>
      <c r="B273" s="107" t="s">
        <v>48</v>
      </c>
      <c r="C273" s="107"/>
      <c r="D273" s="63">
        <v>0</v>
      </c>
      <c r="E273" s="63">
        <v>0</v>
      </c>
      <c r="F273" s="63">
        <v>0</v>
      </c>
      <c r="G273" s="63">
        <v>0</v>
      </c>
      <c r="H273" s="63">
        <v>0</v>
      </c>
      <c r="I273" s="63">
        <v>0</v>
      </c>
      <c r="J273" s="96">
        <v>0</v>
      </c>
      <c r="K273" s="126"/>
      <c r="L273" s="785"/>
      <c r="M273" s="64"/>
      <c r="N273" s="114">
        <v>0</v>
      </c>
      <c r="O273" s="68">
        <f>SUM(N273*D273)/1000</f>
        <v>0</v>
      </c>
    </row>
    <row r="274" spans="1:15" x14ac:dyDescent="0.25">
      <c r="A274" s="782"/>
      <c r="B274" s="157"/>
      <c r="C274" s="157"/>
      <c r="D274" s="51"/>
      <c r="E274" s="51"/>
      <c r="F274" s="267">
        <f>SUM(F270:F273)</f>
        <v>0.06</v>
      </c>
      <c r="G274" s="267">
        <f>SUM(G270:G273)</f>
        <v>0</v>
      </c>
      <c r="H274" s="267">
        <f>SUM(H270:H273)</f>
        <v>10.0007</v>
      </c>
      <c r="I274" s="267">
        <f>SUM(I270:I273)</f>
        <v>38.355399999999996</v>
      </c>
      <c r="J274" s="268">
        <f>SUM(J270:J273)</f>
        <v>0.03</v>
      </c>
      <c r="K274" s="156"/>
      <c r="L274" s="785"/>
      <c r="M274" s="64"/>
      <c r="N274" s="65"/>
      <c r="O274" s="72">
        <f>SUM(O270:O273)</f>
        <v>24.647999999999996</v>
      </c>
    </row>
    <row r="275" spans="1:15" x14ac:dyDescent="0.25">
      <c r="A275" s="782"/>
      <c r="B275" s="124" t="s">
        <v>46</v>
      </c>
      <c r="C275" s="124"/>
      <c r="D275" s="63"/>
      <c r="E275" s="63"/>
      <c r="F275" s="265">
        <f>SUM(F260,F274)</f>
        <v>8.6079999999999988</v>
      </c>
      <c r="G275" s="265">
        <f t="shared" ref="G275:J275" si="25">SUM(G260,G274)</f>
        <v>9.0060000000000002</v>
      </c>
      <c r="H275" s="265">
        <f t="shared" si="25"/>
        <v>64.442700000000002</v>
      </c>
      <c r="I275" s="265">
        <f t="shared" si="25"/>
        <v>373.57240000000002</v>
      </c>
      <c r="J275" s="265">
        <f t="shared" si="25"/>
        <v>0.88600000000000012</v>
      </c>
      <c r="K275" s="158"/>
      <c r="L275" s="785"/>
      <c r="M275" s="69">
        <f>SUM(M261:M274)</f>
        <v>197</v>
      </c>
      <c r="N275" s="65"/>
      <c r="O275" s="265">
        <f>SUM(O260,O274)</f>
        <v>30.538163999999995</v>
      </c>
    </row>
    <row r="276" spans="1:15" ht="25.5" x14ac:dyDescent="0.25">
      <c r="A276" s="21" t="s">
        <v>101</v>
      </c>
      <c r="B276" s="146"/>
      <c r="C276" s="22"/>
      <c r="D276" s="23"/>
      <c r="E276" s="23"/>
      <c r="F276" s="326"/>
      <c r="G276" s="326"/>
      <c r="H276" s="326"/>
      <c r="I276" s="326"/>
      <c r="J276" s="326"/>
      <c r="K276" s="24"/>
      <c r="L276" s="467"/>
      <c r="M276" s="73"/>
      <c r="N276" s="74"/>
      <c r="O276" s="80"/>
    </row>
    <row r="277" spans="1:15" x14ac:dyDescent="0.25">
      <c r="A277" s="25" t="s">
        <v>102</v>
      </c>
      <c r="B277" s="25"/>
      <c r="C277" s="52"/>
      <c r="D277" s="51"/>
      <c r="E277" s="51"/>
      <c r="F277" s="51"/>
      <c r="G277" s="51"/>
      <c r="H277" s="51"/>
      <c r="I277" s="51"/>
      <c r="J277" s="53"/>
      <c r="K277" s="126"/>
      <c r="L277" s="464"/>
      <c r="M277" s="64"/>
      <c r="N277" s="65"/>
      <c r="O277" s="64"/>
    </row>
    <row r="278" spans="1:15" x14ac:dyDescent="0.25">
      <c r="A278" s="26" t="s">
        <v>16</v>
      </c>
      <c r="B278" s="25"/>
      <c r="C278" s="179"/>
      <c r="D278" s="105"/>
      <c r="E278" s="106"/>
      <c r="F278" s="51"/>
      <c r="G278" s="51"/>
      <c r="H278" s="51"/>
      <c r="I278" s="51"/>
      <c r="J278" s="53"/>
      <c r="K278" s="126"/>
      <c r="L278" s="464"/>
      <c r="M278" s="64"/>
      <c r="N278" s="65"/>
      <c r="O278" s="64"/>
    </row>
    <row r="279" spans="1:15" ht="43.5" customHeight="1" x14ac:dyDescent="0.25">
      <c r="A279" s="781"/>
      <c r="B279" s="373" t="s">
        <v>253</v>
      </c>
      <c r="C279" s="339">
        <v>200</v>
      </c>
      <c r="D279" s="340"/>
      <c r="E279" s="340"/>
      <c r="F279" s="417">
        <f>F280+F281+F282+F283+F284</f>
        <v>8.5204000000000004</v>
      </c>
      <c r="G279" s="417">
        <f>G280+G281+G282+G283+G284</f>
        <v>5.5196000000000005</v>
      </c>
      <c r="H279" s="417">
        <f>H280+H281+H282+H283+H284</f>
        <v>44.833100000000002</v>
      </c>
      <c r="I279" s="417">
        <f>I280+I281+I282+I283+I284</f>
        <v>261.464</v>
      </c>
      <c r="J279" s="417">
        <f>J280+J281+J282+J283+J284</f>
        <v>1.7329000000000001</v>
      </c>
      <c r="K279" s="479" t="s">
        <v>255</v>
      </c>
      <c r="L279" s="464"/>
      <c r="M279" s="64">
        <v>200</v>
      </c>
      <c r="N279" s="65"/>
      <c r="O279" s="64"/>
    </row>
    <row r="280" spans="1:15" x14ac:dyDescent="0.25">
      <c r="A280" s="782"/>
      <c r="B280" s="374" t="s">
        <v>254</v>
      </c>
      <c r="C280" s="343"/>
      <c r="D280" s="340">
        <v>38</v>
      </c>
      <c r="E280" s="357">
        <v>38</v>
      </c>
      <c r="F280" s="340">
        <f>12.6*E280/100</f>
        <v>4.7880000000000003</v>
      </c>
      <c r="G280" s="340">
        <f>3.3*E280/100</f>
        <v>1.254</v>
      </c>
      <c r="H280" s="340">
        <f>62.1*E280/100</f>
        <v>23.598000000000003</v>
      </c>
      <c r="I280" s="345">
        <f>335*E280/100</f>
        <v>127.3</v>
      </c>
      <c r="J280" s="346">
        <v>0</v>
      </c>
      <c r="K280" s="480"/>
      <c r="L280" s="790" t="s">
        <v>17</v>
      </c>
      <c r="M280" s="64"/>
      <c r="N280" s="114">
        <v>65.069999999999993</v>
      </c>
      <c r="O280" s="115">
        <f>SUM(N280*D280)/1000</f>
        <v>2.4726599999999999</v>
      </c>
    </row>
    <row r="281" spans="1:15" x14ac:dyDescent="0.25">
      <c r="A281" s="782"/>
      <c r="B281" s="374" t="s">
        <v>228</v>
      </c>
      <c r="C281" s="343"/>
      <c r="D281" s="340">
        <v>133.30000000000001</v>
      </c>
      <c r="E281" s="357">
        <v>133.30000000000001</v>
      </c>
      <c r="F281" s="340">
        <f>2.8*E281/100</f>
        <v>3.7324000000000002</v>
      </c>
      <c r="G281" s="340">
        <f>3.2*E281/100</f>
        <v>4.2656000000000009</v>
      </c>
      <c r="H281" s="340">
        <f>4.7*E281/100</f>
        <v>6.2651000000000012</v>
      </c>
      <c r="I281" s="345">
        <f>58*E281/100</f>
        <v>77.314000000000007</v>
      </c>
      <c r="J281" s="346">
        <f>1.3*E281/100</f>
        <v>1.7329000000000001</v>
      </c>
      <c r="K281" s="480"/>
      <c r="L281" s="791"/>
      <c r="M281" s="64"/>
      <c r="N281" s="114">
        <v>376.98</v>
      </c>
      <c r="O281" s="115">
        <f>SUM(N281*D281)/1000</f>
        <v>50.25143400000001</v>
      </c>
    </row>
    <row r="282" spans="1:15" x14ac:dyDescent="0.25">
      <c r="A282" s="782"/>
      <c r="B282" s="374" t="s">
        <v>229</v>
      </c>
      <c r="C282" s="343"/>
      <c r="D282" s="340">
        <v>28.6</v>
      </c>
      <c r="E282" s="357">
        <v>28.6</v>
      </c>
      <c r="F282" s="340">
        <v>0</v>
      </c>
      <c r="G282" s="340">
        <v>0</v>
      </c>
      <c r="H282" s="340">
        <v>0</v>
      </c>
      <c r="I282" s="345">
        <v>0</v>
      </c>
      <c r="J282" s="346">
        <v>0</v>
      </c>
      <c r="K282" s="480"/>
      <c r="L282" s="791"/>
      <c r="M282" s="64"/>
      <c r="N282" s="114">
        <v>50.7</v>
      </c>
      <c r="O282" s="115">
        <f>SUM(N282*D282)/1000</f>
        <v>1.4500200000000003</v>
      </c>
    </row>
    <row r="283" spans="1:15" x14ac:dyDescent="0.25">
      <c r="A283" s="782"/>
      <c r="B283" s="353" t="s">
        <v>230</v>
      </c>
      <c r="C283" s="363"/>
      <c r="D283" s="340">
        <v>15</v>
      </c>
      <c r="E283" s="340">
        <v>15</v>
      </c>
      <c r="F283" s="340">
        <v>0</v>
      </c>
      <c r="G283" s="340">
        <v>0</v>
      </c>
      <c r="H283" s="340">
        <f>99.8*E283/100</f>
        <v>14.97</v>
      </c>
      <c r="I283" s="345">
        <f>379*E283/100</f>
        <v>56.85</v>
      </c>
      <c r="J283" s="346">
        <v>0</v>
      </c>
      <c r="K283" s="480"/>
      <c r="L283" s="791"/>
      <c r="M283" s="64"/>
      <c r="N283" s="114">
        <v>16.62</v>
      </c>
      <c r="O283" s="115">
        <f>SUM(N283*D283)/1000</f>
        <v>0.24930000000000002</v>
      </c>
    </row>
    <row r="284" spans="1:15" x14ac:dyDescent="0.25">
      <c r="A284" s="782"/>
      <c r="B284" s="342" t="s">
        <v>231</v>
      </c>
      <c r="C284" s="363"/>
      <c r="D284" s="340">
        <v>0.3</v>
      </c>
      <c r="E284" s="340">
        <v>0.3</v>
      </c>
      <c r="F284" s="340">
        <v>0</v>
      </c>
      <c r="G284" s="340">
        <v>0</v>
      </c>
      <c r="H284" s="340">
        <v>0</v>
      </c>
      <c r="I284" s="345">
        <v>0</v>
      </c>
      <c r="J284" s="346">
        <v>0</v>
      </c>
      <c r="K284" s="480"/>
      <c r="L284" s="791"/>
      <c r="M284" s="64"/>
      <c r="N284" s="114"/>
      <c r="O284" s="115"/>
    </row>
    <row r="285" spans="1:15" x14ac:dyDescent="0.25">
      <c r="A285" s="782"/>
      <c r="B285" s="379" t="s">
        <v>137</v>
      </c>
      <c r="C285" s="339">
        <v>25</v>
      </c>
      <c r="D285" s="340">
        <v>25</v>
      </c>
      <c r="E285" s="340">
        <v>25</v>
      </c>
      <c r="F285" s="401">
        <f>7.5*E285/100</f>
        <v>1.875</v>
      </c>
      <c r="G285" s="401">
        <f>11.8*E285/100</f>
        <v>2.95</v>
      </c>
      <c r="H285" s="401">
        <f>74.9*E285/100</f>
        <v>18.725000000000001</v>
      </c>
      <c r="I285" s="429">
        <f>417.1*E285/100</f>
        <v>104.27500000000001</v>
      </c>
      <c r="J285" s="411">
        <v>0</v>
      </c>
      <c r="K285" s="480" t="s">
        <v>73</v>
      </c>
      <c r="L285" s="791"/>
      <c r="M285" s="64">
        <v>50</v>
      </c>
      <c r="N285" s="65"/>
      <c r="O285" s="64"/>
    </row>
    <row r="286" spans="1:15" x14ac:dyDescent="0.25">
      <c r="A286" s="782"/>
      <c r="B286" s="291" t="s">
        <v>72</v>
      </c>
      <c r="C286" s="105" t="s">
        <v>187</v>
      </c>
      <c r="D286" s="13"/>
      <c r="E286" s="13"/>
      <c r="F286" s="13"/>
      <c r="G286" s="13"/>
      <c r="H286" s="13"/>
      <c r="I286" s="13"/>
      <c r="J286" s="96"/>
      <c r="K286" s="125" t="s">
        <v>188</v>
      </c>
      <c r="L286" s="791"/>
      <c r="M286" s="64">
        <v>190</v>
      </c>
      <c r="N286" s="65"/>
      <c r="O286" s="82"/>
    </row>
    <row r="287" spans="1:15" x14ac:dyDescent="0.25">
      <c r="A287" s="782"/>
      <c r="B287" s="291" t="s">
        <v>184</v>
      </c>
      <c r="C287" s="124"/>
      <c r="D287" s="13">
        <v>30</v>
      </c>
      <c r="E287" s="13">
        <v>30</v>
      </c>
      <c r="F287" s="13"/>
      <c r="G287" s="13"/>
      <c r="H287" s="13"/>
      <c r="I287" s="13"/>
      <c r="J287" s="96"/>
      <c r="K287" s="125"/>
      <c r="L287" s="791"/>
      <c r="M287" s="64"/>
      <c r="N287" s="79"/>
      <c r="O287" s="64"/>
    </row>
    <row r="288" spans="1:15" x14ac:dyDescent="0.25">
      <c r="A288" s="782"/>
      <c r="B288" s="107" t="s">
        <v>120</v>
      </c>
      <c r="C288" s="124"/>
      <c r="D288" s="63">
        <v>32.4</v>
      </c>
      <c r="E288" s="63">
        <v>32.4</v>
      </c>
      <c r="F288" s="63">
        <v>0</v>
      </c>
      <c r="G288" s="63">
        <v>0</v>
      </c>
      <c r="H288" s="63">
        <v>0</v>
      </c>
      <c r="I288" s="63">
        <v>0</v>
      </c>
      <c r="J288" s="96">
        <v>0</v>
      </c>
      <c r="K288" s="125"/>
      <c r="L288" s="791"/>
      <c r="M288" s="64"/>
      <c r="N288" s="114">
        <v>0</v>
      </c>
      <c r="O288" s="68">
        <f>SUM(N288*D288)/1000</f>
        <v>0</v>
      </c>
    </row>
    <row r="289" spans="1:15" x14ac:dyDescent="0.25">
      <c r="A289" s="782"/>
      <c r="B289" s="107" t="s">
        <v>185</v>
      </c>
      <c r="C289" s="107"/>
      <c r="D289" s="63">
        <v>0.3</v>
      </c>
      <c r="E289" s="63">
        <v>0.3</v>
      </c>
      <c r="F289" s="63">
        <v>0.06</v>
      </c>
      <c r="G289" s="63">
        <v>0</v>
      </c>
      <c r="H289" s="63">
        <v>2.07E-2</v>
      </c>
      <c r="I289" s="63">
        <v>0.45540000000000003</v>
      </c>
      <c r="J289" s="96">
        <v>0.03</v>
      </c>
      <c r="K289" s="126"/>
      <c r="L289" s="791"/>
      <c r="M289" s="64"/>
      <c r="N289" s="114">
        <v>400</v>
      </c>
      <c r="O289" s="68">
        <f>SUM(N289*D289)/1000</f>
        <v>0.12</v>
      </c>
    </row>
    <row r="290" spans="1:15" x14ac:dyDescent="0.25">
      <c r="A290" s="782"/>
      <c r="B290" s="107" t="s">
        <v>49</v>
      </c>
      <c r="C290" s="107"/>
      <c r="D290" s="63">
        <v>10</v>
      </c>
      <c r="E290" s="63">
        <v>10</v>
      </c>
      <c r="F290" s="63">
        <v>0</v>
      </c>
      <c r="G290" s="63">
        <v>0</v>
      </c>
      <c r="H290" s="63">
        <v>9.98</v>
      </c>
      <c r="I290" s="63">
        <v>37.9</v>
      </c>
      <c r="J290" s="96">
        <v>0</v>
      </c>
      <c r="K290" s="126"/>
      <c r="L290" s="791"/>
      <c r="M290" s="64"/>
      <c r="N290" s="114">
        <v>50.7</v>
      </c>
      <c r="O290" s="68">
        <f>SUM(N290*D290)/1000</f>
        <v>0.50700000000000001</v>
      </c>
    </row>
    <row r="291" spans="1:15" x14ac:dyDescent="0.25">
      <c r="A291" s="782"/>
      <c r="B291" s="107" t="s">
        <v>19</v>
      </c>
      <c r="C291" s="107"/>
      <c r="D291" s="63">
        <v>150</v>
      </c>
      <c r="E291" s="63">
        <v>150</v>
      </c>
      <c r="F291" s="63">
        <v>0</v>
      </c>
      <c r="G291" s="63">
        <v>0</v>
      </c>
      <c r="H291" s="63">
        <v>0</v>
      </c>
      <c r="I291" s="63">
        <v>0</v>
      </c>
      <c r="J291" s="96">
        <v>0</v>
      </c>
      <c r="K291" s="126"/>
      <c r="L291" s="791"/>
      <c r="M291" s="64"/>
      <c r="N291" s="114">
        <v>0</v>
      </c>
      <c r="O291" s="68">
        <f>SUM(N291*D291)/1000</f>
        <v>0</v>
      </c>
    </row>
    <row r="292" spans="1:15" x14ac:dyDescent="0.25">
      <c r="A292" s="783"/>
      <c r="B292" s="107"/>
      <c r="C292" s="107"/>
      <c r="D292" s="63"/>
      <c r="E292" s="63"/>
      <c r="F292" s="274">
        <f>SUM(F287:F291)</f>
        <v>0.06</v>
      </c>
      <c r="G292" s="274">
        <f>SUM(G287:G291)</f>
        <v>0</v>
      </c>
      <c r="H292" s="274">
        <f>SUM(H287:H291)</f>
        <v>10.0007</v>
      </c>
      <c r="I292" s="274">
        <f>SUM(I287:I291)</f>
        <v>38.355399999999996</v>
      </c>
      <c r="J292" s="279">
        <f>SUM(J287:J291)</f>
        <v>0.03</v>
      </c>
      <c r="K292" s="156"/>
      <c r="L292" s="791"/>
      <c r="M292" s="64"/>
      <c r="N292" s="65"/>
      <c r="O292" s="72">
        <f>SUM(O287:O291)</f>
        <v>0.627</v>
      </c>
    </row>
    <row r="293" spans="1:15" hidden="1" x14ac:dyDescent="0.25">
      <c r="A293" s="781" t="s">
        <v>208</v>
      </c>
      <c r="B293" s="138"/>
      <c r="C293" s="147"/>
      <c r="D293" s="100"/>
      <c r="E293" s="100"/>
      <c r="F293" s="148"/>
      <c r="G293" s="148"/>
      <c r="H293" s="148"/>
      <c r="I293" s="148"/>
      <c r="J293" s="149"/>
      <c r="K293" s="162"/>
      <c r="L293" s="791"/>
      <c r="M293" s="64"/>
      <c r="N293" s="65"/>
      <c r="O293" s="67"/>
    </row>
    <row r="294" spans="1:15" x14ac:dyDescent="0.25">
      <c r="A294" s="782"/>
      <c r="B294" s="350" t="s">
        <v>348</v>
      </c>
      <c r="C294" s="339">
        <v>150</v>
      </c>
      <c r="D294" s="340">
        <v>155</v>
      </c>
      <c r="E294" s="340">
        <v>150</v>
      </c>
      <c r="F294" s="417">
        <f>2.8*E294/100</f>
        <v>4.2</v>
      </c>
      <c r="G294" s="417">
        <f>3.2*E294/100</f>
        <v>4.8</v>
      </c>
      <c r="H294" s="417">
        <f>4.7*E294/100</f>
        <v>7.05</v>
      </c>
      <c r="I294" s="418">
        <f>58*E294/100</f>
        <v>87</v>
      </c>
      <c r="J294" s="419">
        <f>1.3*E294/100</f>
        <v>1.95</v>
      </c>
      <c r="K294" s="479" t="s">
        <v>349</v>
      </c>
      <c r="L294" s="791"/>
      <c r="M294" s="64">
        <v>100</v>
      </c>
      <c r="N294" s="65">
        <v>73.69</v>
      </c>
      <c r="O294" s="69">
        <f>SUM(D294*N294)/1000</f>
        <v>11.421949999999999</v>
      </c>
    </row>
    <row r="295" spans="1:15" x14ac:dyDescent="0.25">
      <c r="A295" s="783"/>
      <c r="B295" s="197" t="s">
        <v>57</v>
      </c>
      <c r="C295" s="106"/>
      <c r="D295" s="63"/>
      <c r="E295" s="13"/>
      <c r="F295" s="282">
        <f>SUM(F279,F285,F292:F294)</f>
        <v>14.6554</v>
      </c>
      <c r="G295" s="282">
        <f t="shared" ref="G295:J295" si="26">SUM(G279,G285,G292:G294)</f>
        <v>13.269600000000001</v>
      </c>
      <c r="H295" s="282">
        <f t="shared" si="26"/>
        <v>80.608800000000002</v>
      </c>
      <c r="I295" s="282">
        <f t="shared" si="26"/>
        <v>491.09440000000001</v>
      </c>
      <c r="J295" s="282">
        <f t="shared" si="26"/>
        <v>3.7129000000000003</v>
      </c>
      <c r="K295" s="162"/>
      <c r="L295" s="792"/>
      <c r="M295" s="69">
        <f>SUM(M279:M294)</f>
        <v>540</v>
      </c>
      <c r="N295" s="65"/>
      <c r="O295" s="282" t="e">
        <f>SUM(#REF!,O292:O294)</f>
        <v>#REF!</v>
      </c>
    </row>
    <row r="296" spans="1:15" x14ac:dyDescent="0.25">
      <c r="A296" s="27" t="s">
        <v>107</v>
      </c>
      <c r="B296" s="200"/>
      <c r="C296" s="13"/>
      <c r="D296" s="105"/>
      <c r="E296" s="106"/>
      <c r="F296" s="63"/>
      <c r="G296" s="63"/>
      <c r="H296" s="141"/>
      <c r="I296" s="141"/>
      <c r="J296" s="168"/>
      <c r="K296" s="126"/>
      <c r="L296" s="468"/>
      <c r="M296" s="64"/>
      <c r="N296" s="65"/>
      <c r="O296" s="64"/>
    </row>
    <row r="297" spans="1:15" ht="30" x14ac:dyDescent="0.25">
      <c r="A297" s="27"/>
      <c r="B297" s="460" t="s">
        <v>217</v>
      </c>
      <c r="C297" s="140">
        <v>200</v>
      </c>
      <c r="D297" s="154"/>
      <c r="E297" s="154"/>
      <c r="F297" s="13"/>
      <c r="G297" s="13"/>
      <c r="H297" s="13"/>
      <c r="I297" s="13"/>
      <c r="J297" s="96"/>
      <c r="K297" s="125" t="s">
        <v>134</v>
      </c>
      <c r="L297" s="469"/>
      <c r="M297" s="64">
        <v>200</v>
      </c>
      <c r="N297" s="65"/>
      <c r="O297" s="64"/>
    </row>
    <row r="298" spans="1:15" x14ac:dyDescent="0.25">
      <c r="A298" s="27"/>
      <c r="B298" s="96" t="s">
        <v>36</v>
      </c>
      <c r="C298" s="96"/>
      <c r="D298" s="98">
        <v>53.4</v>
      </c>
      <c r="E298" s="98">
        <v>40</v>
      </c>
      <c r="F298" s="102">
        <v>0.8</v>
      </c>
      <c r="G298" s="63">
        <v>0.16</v>
      </c>
      <c r="H298" s="63">
        <v>6.52</v>
      </c>
      <c r="I298" s="63">
        <v>30.8</v>
      </c>
      <c r="J298" s="96">
        <v>8</v>
      </c>
      <c r="K298" s="152"/>
      <c r="L298" s="469"/>
      <c r="M298" s="64"/>
      <c r="N298" s="114">
        <v>21.89</v>
      </c>
      <c r="O298" s="68">
        <f t="shared" ref="O298:O305" si="27">SUM(N298*D298)/1000</f>
        <v>1.1689259999999999</v>
      </c>
    </row>
    <row r="299" spans="1:15" x14ac:dyDescent="0.25">
      <c r="A299" s="27"/>
      <c r="B299" s="96" t="s">
        <v>135</v>
      </c>
      <c r="C299" s="96"/>
      <c r="D299" s="98">
        <v>16.2</v>
      </c>
      <c r="E299" s="98">
        <v>16</v>
      </c>
      <c r="F299" s="102">
        <v>3.68</v>
      </c>
      <c r="G299" s="63">
        <v>0.25600000000000001</v>
      </c>
      <c r="H299" s="63">
        <v>8.1280000000000001</v>
      </c>
      <c r="I299" s="63">
        <v>50.24</v>
      </c>
      <c r="J299" s="96">
        <v>0</v>
      </c>
      <c r="K299" s="152"/>
      <c r="L299" s="469"/>
      <c r="M299" s="64"/>
      <c r="N299" s="114">
        <v>39.630000000000003</v>
      </c>
      <c r="O299" s="68">
        <f t="shared" si="27"/>
        <v>0.64200599999999997</v>
      </c>
    </row>
    <row r="300" spans="1:15" x14ac:dyDescent="0.25">
      <c r="A300" s="27"/>
      <c r="B300" s="96" t="s">
        <v>32</v>
      </c>
      <c r="C300" s="96"/>
      <c r="D300" s="98">
        <v>10</v>
      </c>
      <c r="E300" s="98">
        <v>8</v>
      </c>
      <c r="F300" s="102">
        <v>0.112</v>
      </c>
      <c r="G300" s="63">
        <v>1.6E-2</v>
      </c>
      <c r="H300" s="63">
        <v>0.65600000000000003</v>
      </c>
      <c r="I300" s="63">
        <v>3.28</v>
      </c>
      <c r="J300" s="96">
        <v>0.8</v>
      </c>
      <c r="K300" s="152"/>
      <c r="L300" s="469"/>
      <c r="M300" s="64"/>
      <c r="N300" s="114">
        <v>21.98</v>
      </c>
      <c r="O300" s="68">
        <f t="shared" si="27"/>
        <v>0.21980000000000002</v>
      </c>
    </row>
    <row r="301" spans="1:15" x14ac:dyDescent="0.25">
      <c r="A301" s="27"/>
      <c r="B301" s="96" t="s">
        <v>59</v>
      </c>
      <c r="C301" s="96"/>
      <c r="D301" s="98">
        <v>12.6</v>
      </c>
      <c r="E301" s="98">
        <v>10</v>
      </c>
      <c r="F301" s="102">
        <v>0.13</v>
      </c>
      <c r="G301" s="63">
        <v>0.01</v>
      </c>
      <c r="H301" s="63">
        <v>0.69</v>
      </c>
      <c r="I301" s="63">
        <v>3.5</v>
      </c>
      <c r="J301" s="96">
        <v>0.5</v>
      </c>
      <c r="K301" s="152"/>
      <c r="L301" s="469"/>
      <c r="M301" s="64"/>
      <c r="N301" s="114">
        <v>38.5</v>
      </c>
      <c r="O301" s="68">
        <f t="shared" si="27"/>
        <v>0.48509999999999998</v>
      </c>
    </row>
    <row r="302" spans="1:15" x14ac:dyDescent="0.25">
      <c r="A302" s="27"/>
      <c r="B302" s="96" t="s">
        <v>37</v>
      </c>
      <c r="C302" s="96"/>
      <c r="D302" s="98">
        <v>4</v>
      </c>
      <c r="E302" s="98">
        <v>4</v>
      </c>
      <c r="F302" s="102">
        <v>0</v>
      </c>
      <c r="G302" s="63">
        <v>3.996</v>
      </c>
      <c r="H302" s="63">
        <v>0</v>
      </c>
      <c r="I302" s="63">
        <v>35.96</v>
      </c>
      <c r="J302" s="96">
        <v>0</v>
      </c>
      <c r="K302" s="152"/>
      <c r="L302" s="469"/>
      <c r="M302" s="64"/>
      <c r="N302" s="114">
        <v>92.2</v>
      </c>
      <c r="O302" s="68">
        <f t="shared" si="27"/>
        <v>0.36880000000000002</v>
      </c>
    </row>
    <row r="303" spans="1:15" x14ac:dyDescent="0.25">
      <c r="A303" s="27"/>
      <c r="B303" s="96" t="s">
        <v>112</v>
      </c>
      <c r="C303" s="96"/>
      <c r="D303" s="98">
        <v>1.2</v>
      </c>
      <c r="E303" s="98">
        <v>1.2</v>
      </c>
      <c r="F303" s="102">
        <v>0</v>
      </c>
      <c r="G303" s="63">
        <v>0</v>
      </c>
      <c r="H303" s="63">
        <v>0</v>
      </c>
      <c r="I303" s="63">
        <v>0</v>
      </c>
      <c r="J303" s="96">
        <v>0</v>
      </c>
      <c r="K303" s="152"/>
      <c r="L303" s="469"/>
      <c r="M303" s="64"/>
      <c r="N303" s="114">
        <v>16.62</v>
      </c>
      <c r="O303" s="68">
        <f t="shared" si="27"/>
        <v>1.9944E-2</v>
      </c>
    </row>
    <row r="304" spans="1:15" x14ac:dyDescent="0.25">
      <c r="A304" s="27"/>
      <c r="B304" s="96" t="s">
        <v>61</v>
      </c>
      <c r="C304" s="96"/>
      <c r="D304" s="98">
        <v>7.0000000000000001E-3</v>
      </c>
      <c r="E304" s="98">
        <v>7.0000000000000001E-3</v>
      </c>
      <c r="F304" s="102">
        <v>0</v>
      </c>
      <c r="G304" s="63">
        <v>0</v>
      </c>
      <c r="H304" s="63">
        <v>0</v>
      </c>
      <c r="I304" s="63">
        <v>0</v>
      </c>
      <c r="J304" s="96">
        <v>0</v>
      </c>
      <c r="K304" s="152"/>
      <c r="L304" s="469"/>
      <c r="M304" s="64"/>
      <c r="N304" s="114">
        <v>0</v>
      </c>
      <c r="O304" s="68">
        <f t="shared" si="27"/>
        <v>0</v>
      </c>
    </row>
    <row r="305" spans="1:15" x14ac:dyDescent="0.25">
      <c r="A305" s="27"/>
      <c r="B305" s="96" t="s">
        <v>19</v>
      </c>
      <c r="C305" s="96"/>
      <c r="D305" s="98">
        <v>140</v>
      </c>
      <c r="E305" s="98">
        <v>140</v>
      </c>
      <c r="F305" s="102">
        <v>0</v>
      </c>
      <c r="G305" s="63">
        <v>0</v>
      </c>
      <c r="H305" s="63">
        <v>0</v>
      </c>
      <c r="I305" s="63">
        <v>0</v>
      </c>
      <c r="J305" s="96">
        <v>0</v>
      </c>
      <c r="K305" s="126"/>
      <c r="L305" s="469"/>
      <c r="M305" s="64"/>
      <c r="N305" s="114">
        <v>0</v>
      </c>
      <c r="O305" s="68">
        <f t="shared" si="27"/>
        <v>0</v>
      </c>
    </row>
    <row r="306" spans="1:15" x14ac:dyDescent="0.25">
      <c r="A306" s="27"/>
      <c r="B306" s="107"/>
      <c r="C306" s="107"/>
      <c r="D306" s="141"/>
      <c r="E306" s="141"/>
      <c r="F306" s="118">
        <f>SUM(F298:F305)</f>
        <v>4.7220000000000004</v>
      </c>
      <c r="G306" s="118">
        <f>SUM(G298:G305)</f>
        <v>4.4379999999999997</v>
      </c>
      <c r="H306" s="118">
        <f>SUM(H298:H305)</f>
        <v>15.994</v>
      </c>
      <c r="I306" s="118">
        <f>SUM(I298:I305)</f>
        <v>123.78</v>
      </c>
      <c r="J306" s="119">
        <f>SUM(J298:J305)</f>
        <v>9.3000000000000007</v>
      </c>
      <c r="K306" s="156"/>
      <c r="L306" s="469"/>
      <c r="M306" s="64"/>
      <c r="N306" s="65"/>
      <c r="O306" s="72">
        <f>SUM(O298:O305)</f>
        <v>2.904576</v>
      </c>
    </row>
    <row r="307" spans="1:15" ht="27.75" customHeight="1" x14ac:dyDescent="0.25">
      <c r="A307" s="782"/>
      <c r="B307" s="384" t="s">
        <v>344</v>
      </c>
      <c r="C307" s="363" t="s">
        <v>345</v>
      </c>
      <c r="D307" s="340"/>
      <c r="E307" s="340"/>
      <c r="F307" s="432" t="s">
        <v>48</v>
      </c>
      <c r="G307" s="432" t="s">
        <v>48</v>
      </c>
      <c r="H307" s="432" t="s">
        <v>48</v>
      </c>
      <c r="I307" s="432" t="s">
        <v>48</v>
      </c>
      <c r="J307" s="432" t="s">
        <v>48</v>
      </c>
      <c r="K307" s="479" t="s">
        <v>350</v>
      </c>
      <c r="L307" s="785"/>
      <c r="M307" s="64">
        <v>70</v>
      </c>
      <c r="N307" s="65"/>
      <c r="O307" s="64"/>
    </row>
    <row r="308" spans="1:15" x14ac:dyDescent="0.25">
      <c r="A308" s="782"/>
      <c r="B308" s="382" t="s">
        <v>65</v>
      </c>
      <c r="C308" s="343"/>
      <c r="D308" s="340">
        <v>107</v>
      </c>
      <c r="E308" s="340">
        <v>79</v>
      </c>
      <c r="F308" s="63">
        <v>6.99</v>
      </c>
      <c r="G308" s="63">
        <v>6.0190000000000001</v>
      </c>
      <c r="H308" s="63">
        <v>0</v>
      </c>
      <c r="I308" s="63">
        <v>82.16</v>
      </c>
      <c r="J308" s="463">
        <v>0</v>
      </c>
      <c r="K308" s="480"/>
      <c r="L308" s="785"/>
      <c r="M308" s="64"/>
      <c r="N308" s="114">
        <v>136.62</v>
      </c>
      <c r="O308" s="68">
        <f>SUM(N308*D308)/1000</f>
        <v>14.61834</v>
      </c>
    </row>
    <row r="309" spans="1:15" x14ac:dyDescent="0.25">
      <c r="A309" s="782"/>
      <c r="B309" s="382" t="s">
        <v>287</v>
      </c>
      <c r="C309" s="343"/>
      <c r="D309" s="340">
        <v>5</v>
      </c>
      <c r="E309" s="340">
        <v>5</v>
      </c>
      <c r="F309" s="102">
        <v>0</v>
      </c>
      <c r="G309" s="63">
        <v>3.996</v>
      </c>
      <c r="H309" s="63">
        <v>0</v>
      </c>
      <c r="I309" s="63">
        <v>35.96</v>
      </c>
      <c r="J309" s="107">
        <v>0</v>
      </c>
      <c r="K309" s="480"/>
      <c r="L309" s="785"/>
      <c r="M309" s="64"/>
      <c r="N309" s="114"/>
      <c r="O309" s="68"/>
    </row>
    <row r="310" spans="1:15" x14ac:dyDescent="0.25">
      <c r="A310" s="782"/>
      <c r="B310" s="382" t="s">
        <v>239</v>
      </c>
      <c r="C310" s="343"/>
      <c r="D310" s="340">
        <v>12</v>
      </c>
      <c r="E310" s="340">
        <v>10</v>
      </c>
      <c r="F310" s="340">
        <f>1.4*E310/100</f>
        <v>0.14000000000000001</v>
      </c>
      <c r="G310" s="340">
        <v>0</v>
      </c>
      <c r="H310" s="340">
        <f>8.2*E310/100</f>
        <v>0.82</v>
      </c>
      <c r="I310" s="345">
        <f>41*E310/100</f>
        <v>4.0999999999999996</v>
      </c>
      <c r="J310" s="346">
        <f>10*E310/100</f>
        <v>1</v>
      </c>
      <c r="K310" s="480"/>
      <c r="L310" s="785"/>
      <c r="M310" s="64"/>
      <c r="N310" s="114"/>
      <c r="O310" s="68"/>
    </row>
    <row r="311" spans="1:15" x14ac:dyDescent="0.25">
      <c r="A311" s="782"/>
      <c r="B311" s="353" t="s">
        <v>240</v>
      </c>
      <c r="C311" s="343"/>
      <c r="D311" s="340">
        <v>3.2</v>
      </c>
      <c r="E311" s="340">
        <v>3.2</v>
      </c>
      <c r="F311" s="340">
        <f>4.8*E311/100</f>
        <v>0.15359999999999999</v>
      </c>
      <c r="G311" s="340">
        <v>0</v>
      </c>
      <c r="H311" s="340">
        <f>19*E311/100</f>
        <v>0.6080000000000001</v>
      </c>
      <c r="I311" s="345">
        <f>102*E311/100</f>
        <v>3.2640000000000002</v>
      </c>
      <c r="J311" s="346">
        <f>45*E311/100</f>
        <v>1.44</v>
      </c>
      <c r="K311" s="480"/>
      <c r="L311" s="785"/>
      <c r="M311" s="64"/>
      <c r="N311" s="114"/>
      <c r="O311" s="68"/>
    </row>
    <row r="312" spans="1:15" x14ac:dyDescent="0.25">
      <c r="A312" s="782"/>
      <c r="B312" s="382" t="s">
        <v>231</v>
      </c>
      <c r="C312" s="343"/>
      <c r="D312" s="340">
        <v>1.5</v>
      </c>
      <c r="E312" s="340">
        <v>1.5</v>
      </c>
      <c r="F312" s="340">
        <v>0</v>
      </c>
      <c r="G312" s="340">
        <v>0</v>
      </c>
      <c r="H312" s="340">
        <v>0</v>
      </c>
      <c r="I312" s="345">
        <v>0</v>
      </c>
      <c r="J312" s="346">
        <v>0</v>
      </c>
      <c r="K312" s="480"/>
      <c r="L312" s="785"/>
      <c r="M312" s="64"/>
      <c r="N312" s="114"/>
      <c r="O312" s="68"/>
    </row>
    <row r="313" spans="1:15" x14ac:dyDescent="0.25">
      <c r="A313" s="782"/>
      <c r="B313" s="382" t="s">
        <v>336</v>
      </c>
      <c r="C313" s="343"/>
      <c r="D313" s="340">
        <v>2</v>
      </c>
      <c r="E313" s="340">
        <v>2</v>
      </c>
      <c r="F313" s="340">
        <v>0</v>
      </c>
      <c r="G313" s="340">
        <v>0</v>
      </c>
      <c r="H313" s="340">
        <v>0</v>
      </c>
      <c r="I313" s="345">
        <v>0</v>
      </c>
      <c r="J313" s="346">
        <v>0</v>
      </c>
      <c r="K313" s="480"/>
      <c r="L313" s="785"/>
      <c r="M313" s="64"/>
      <c r="N313" s="114"/>
      <c r="O313" s="68"/>
    </row>
    <row r="314" spans="1:15" x14ac:dyDescent="0.25">
      <c r="A314" s="782"/>
      <c r="B314" s="96" t="s">
        <v>61</v>
      </c>
      <c r="C314" s="96"/>
      <c r="D314" s="516">
        <v>1E-3</v>
      </c>
      <c r="E314" s="516">
        <v>1E-3</v>
      </c>
      <c r="F314" s="284">
        <v>0</v>
      </c>
      <c r="G314" s="194">
        <v>0</v>
      </c>
      <c r="H314" s="194">
        <v>0</v>
      </c>
      <c r="I314" s="194">
        <v>0</v>
      </c>
      <c r="J314" s="97">
        <v>0</v>
      </c>
      <c r="K314" s="480"/>
      <c r="L314" s="785"/>
      <c r="M314" s="64"/>
      <c r="N314" s="114"/>
      <c r="O314" s="68"/>
    </row>
    <row r="315" spans="1:15" ht="15" customHeight="1" x14ac:dyDescent="0.25">
      <c r="A315" s="782"/>
      <c r="B315" s="382" t="s">
        <v>351</v>
      </c>
      <c r="C315" s="343"/>
      <c r="D315" s="340" t="s">
        <v>48</v>
      </c>
      <c r="E315" s="340">
        <v>50</v>
      </c>
      <c r="F315" s="340" t="s">
        <v>48</v>
      </c>
      <c r="G315" s="340" t="s">
        <v>48</v>
      </c>
      <c r="H315" s="340" t="s">
        <v>48</v>
      </c>
      <c r="I315" s="345" t="s">
        <v>48</v>
      </c>
      <c r="J315" s="346" t="s">
        <v>48</v>
      </c>
      <c r="K315" s="480"/>
      <c r="L315" s="785"/>
      <c r="M315" s="64"/>
      <c r="N315" s="114">
        <v>35</v>
      </c>
      <c r="O315" s="68" t="e">
        <f>SUM(N315*D315)/1000</f>
        <v>#VALUE!</v>
      </c>
    </row>
    <row r="316" spans="1:15" ht="15" customHeight="1" x14ac:dyDescent="0.25">
      <c r="A316" s="782"/>
      <c r="B316" s="382" t="s">
        <v>352</v>
      </c>
      <c r="C316" s="343"/>
      <c r="D316" s="340" t="s">
        <v>48</v>
      </c>
      <c r="E316" s="340">
        <v>50</v>
      </c>
      <c r="F316" s="102" t="s">
        <v>48</v>
      </c>
      <c r="G316" s="63" t="s">
        <v>48</v>
      </c>
      <c r="H316" s="63" t="s">
        <v>48</v>
      </c>
      <c r="I316" s="63" t="s">
        <v>48</v>
      </c>
      <c r="J316" s="107" t="s">
        <v>48</v>
      </c>
      <c r="K316" s="480"/>
      <c r="L316" s="785"/>
      <c r="M316" s="64"/>
      <c r="N316" s="114"/>
      <c r="O316" s="68"/>
    </row>
    <row r="317" spans="1:15" x14ac:dyDescent="0.25">
      <c r="A317" s="782"/>
      <c r="B317" s="96"/>
      <c r="C317" s="96"/>
      <c r="D317" s="63"/>
      <c r="E317" s="63"/>
      <c r="F317" s="430">
        <f>SUM(F308:F316)</f>
        <v>7.2835999999999999</v>
      </c>
      <c r="G317" s="430">
        <f>SUM(G308:G316)</f>
        <v>10.015000000000001</v>
      </c>
      <c r="H317" s="430">
        <f>SUM(H308:H316)</f>
        <v>1.4279999999999999</v>
      </c>
      <c r="I317" s="430">
        <f>SUM(I308:I316)</f>
        <v>125.48399999999999</v>
      </c>
      <c r="J317" s="430">
        <f>SUM(J308:J316)</f>
        <v>2.44</v>
      </c>
      <c r="K317" s="126"/>
      <c r="L317" s="785"/>
      <c r="M317" s="64"/>
      <c r="N317" s="114"/>
      <c r="O317" s="72" t="e">
        <f>SUM(O308:O316)</f>
        <v>#VALUE!</v>
      </c>
    </row>
    <row r="318" spans="1:15" x14ac:dyDescent="0.25">
      <c r="A318" s="782"/>
      <c r="B318" s="459" t="s">
        <v>89</v>
      </c>
      <c r="C318" s="124">
        <v>150</v>
      </c>
      <c r="D318" s="13"/>
      <c r="E318" s="13"/>
      <c r="F318" s="63"/>
      <c r="G318" s="63"/>
      <c r="H318" s="63"/>
      <c r="I318" s="63"/>
      <c r="J318" s="96"/>
      <c r="K318" s="155" t="s">
        <v>90</v>
      </c>
      <c r="L318" s="785"/>
      <c r="M318" s="64">
        <v>150</v>
      </c>
      <c r="N318" s="65"/>
      <c r="O318" s="64"/>
    </row>
    <row r="319" spans="1:15" x14ac:dyDescent="0.25">
      <c r="A319" s="782"/>
      <c r="B319" s="107" t="s">
        <v>91</v>
      </c>
      <c r="C319" s="107"/>
      <c r="D319" s="63">
        <v>171</v>
      </c>
      <c r="E319" s="63">
        <v>128.30000000000001</v>
      </c>
      <c r="F319" s="63">
        <v>2.54</v>
      </c>
      <c r="G319" s="63">
        <v>0.50800000000000001</v>
      </c>
      <c r="H319" s="63">
        <v>20.701000000000001</v>
      </c>
      <c r="I319" s="63">
        <v>97.79</v>
      </c>
      <c r="J319" s="96">
        <v>25.4</v>
      </c>
      <c r="K319" s="152"/>
      <c r="L319" s="785"/>
      <c r="M319" s="64"/>
      <c r="N319" s="114">
        <v>21.89</v>
      </c>
      <c r="O319" s="68">
        <f t="shared" ref="O319:O322" si="28">SUM(N319*D319)/1000</f>
        <v>3.7431900000000002</v>
      </c>
    </row>
    <row r="320" spans="1:15" x14ac:dyDescent="0.25">
      <c r="A320" s="782"/>
      <c r="B320" s="107" t="s">
        <v>44</v>
      </c>
      <c r="C320" s="107"/>
      <c r="D320" s="63">
        <v>23.7</v>
      </c>
      <c r="E320" s="63" t="s">
        <v>92</v>
      </c>
      <c r="F320" s="63">
        <v>0.63</v>
      </c>
      <c r="G320" s="63">
        <v>0.72</v>
      </c>
      <c r="H320" s="63">
        <v>1.0575000000000001</v>
      </c>
      <c r="I320" s="63">
        <v>13.05</v>
      </c>
      <c r="J320" s="96">
        <v>0.29249999999999998</v>
      </c>
      <c r="K320" s="152"/>
      <c r="L320" s="785"/>
      <c r="M320" s="64"/>
      <c r="N320" s="114">
        <v>43.22</v>
      </c>
      <c r="O320" s="68">
        <f t="shared" si="28"/>
        <v>1.0243139999999999</v>
      </c>
    </row>
    <row r="321" spans="1:15" x14ac:dyDescent="0.25">
      <c r="A321" s="782"/>
      <c r="B321" s="107" t="s">
        <v>21</v>
      </c>
      <c r="C321" s="107"/>
      <c r="D321" s="63">
        <v>5.3</v>
      </c>
      <c r="E321" s="63">
        <v>5.3</v>
      </c>
      <c r="F321" s="63">
        <v>4.24E-2</v>
      </c>
      <c r="G321" s="63">
        <v>3.8424999999999998</v>
      </c>
      <c r="H321" s="63">
        <v>6.8900000000000003E-2</v>
      </c>
      <c r="I321" s="63">
        <v>35.033000000000001</v>
      </c>
      <c r="J321" s="96">
        <v>0</v>
      </c>
      <c r="K321" s="152"/>
      <c r="L321" s="785"/>
      <c r="M321" s="64"/>
      <c r="N321" s="114">
        <v>376.98</v>
      </c>
      <c r="O321" s="68">
        <f t="shared" si="28"/>
        <v>1.997994</v>
      </c>
    </row>
    <row r="322" spans="1:15" x14ac:dyDescent="0.25">
      <c r="A322" s="782"/>
      <c r="B322" s="107" t="s">
        <v>22</v>
      </c>
      <c r="C322" s="107"/>
      <c r="D322" s="63">
        <v>1.5</v>
      </c>
      <c r="E322" s="63">
        <v>1.5</v>
      </c>
      <c r="F322" s="63">
        <v>0</v>
      </c>
      <c r="G322" s="63">
        <v>0</v>
      </c>
      <c r="H322" s="63">
        <v>0</v>
      </c>
      <c r="I322" s="63">
        <v>0</v>
      </c>
      <c r="J322" s="96">
        <v>0</v>
      </c>
      <c r="K322" s="126"/>
      <c r="L322" s="785"/>
      <c r="M322" s="64"/>
      <c r="N322" s="114">
        <v>16.62</v>
      </c>
      <c r="O322" s="68">
        <f t="shared" si="28"/>
        <v>2.4930000000000001E-2</v>
      </c>
    </row>
    <row r="323" spans="1:15" x14ac:dyDescent="0.25">
      <c r="A323" s="782"/>
      <c r="B323" s="213"/>
      <c r="C323" s="216"/>
      <c r="D323" s="100"/>
      <c r="E323" s="100"/>
      <c r="F323" s="192">
        <f>SUM(F319:F322)</f>
        <v>3.2124000000000001</v>
      </c>
      <c r="G323" s="192">
        <f>SUM(G319:G322)</f>
        <v>5.0705</v>
      </c>
      <c r="H323" s="192">
        <f>SUM(H319:H322)</f>
        <v>21.827400000000001</v>
      </c>
      <c r="I323" s="192">
        <f>SUM(I319:I322)</f>
        <v>145.87299999999999</v>
      </c>
      <c r="J323" s="193">
        <f>SUM(J319:J322)</f>
        <v>25.692499999999999</v>
      </c>
      <c r="K323" s="156"/>
      <c r="L323" s="785"/>
      <c r="M323" s="64"/>
      <c r="N323" s="65"/>
      <c r="O323" s="72">
        <f>SUM(O319:O322)</f>
        <v>6.7904280000000012</v>
      </c>
    </row>
    <row r="324" spans="1:15" ht="30" x14ac:dyDescent="0.25">
      <c r="A324" s="782"/>
      <c r="B324" s="138" t="s">
        <v>180</v>
      </c>
      <c r="C324" s="124">
        <v>180</v>
      </c>
      <c r="D324" s="13"/>
      <c r="E324" s="13"/>
      <c r="F324" s="63"/>
      <c r="G324" s="63"/>
      <c r="H324" s="63"/>
      <c r="I324" s="63"/>
      <c r="J324" s="96"/>
      <c r="K324" s="108" t="s">
        <v>181</v>
      </c>
      <c r="L324" s="785"/>
      <c r="M324" s="64">
        <v>180</v>
      </c>
      <c r="N324" s="65"/>
      <c r="O324" s="64"/>
    </row>
    <row r="325" spans="1:15" ht="17.25" customHeight="1" x14ac:dyDescent="0.25">
      <c r="A325" s="782"/>
      <c r="B325" s="107" t="s">
        <v>182</v>
      </c>
      <c r="C325" s="107"/>
      <c r="D325" s="63">
        <v>18</v>
      </c>
      <c r="E325" s="63" t="s">
        <v>183</v>
      </c>
      <c r="F325" s="63">
        <v>0.93600000000000005</v>
      </c>
      <c r="G325" s="63">
        <v>5.3999999999999999E-2</v>
      </c>
      <c r="H325" s="63">
        <v>9.18</v>
      </c>
      <c r="I325" s="63">
        <v>41.76</v>
      </c>
      <c r="J325" s="96">
        <v>0.72</v>
      </c>
      <c r="K325" s="136"/>
      <c r="L325" s="785"/>
      <c r="M325" s="64"/>
      <c r="N325" s="114">
        <v>100</v>
      </c>
      <c r="O325" s="64">
        <f>SUM(N325*D325)/1000</f>
        <v>1.8</v>
      </c>
    </row>
    <row r="326" spans="1:15" x14ac:dyDescent="0.25">
      <c r="A326" s="782"/>
      <c r="B326" s="107" t="s">
        <v>38</v>
      </c>
      <c r="C326" s="107"/>
      <c r="D326" s="63">
        <v>14.4</v>
      </c>
      <c r="E326" s="63">
        <v>14.4</v>
      </c>
      <c r="F326" s="63">
        <v>0</v>
      </c>
      <c r="G326" s="63">
        <v>0</v>
      </c>
      <c r="H326" s="63">
        <v>14.371</v>
      </c>
      <c r="I326" s="63">
        <v>54.576000000000001</v>
      </c>
      <c r="J326" s="96">
        <v>0</v>
      </c>
      <c r="K326" s="136"/>
      <c r="L326" s="785"/>
      <c r="M326" s="64"/>
      <c r="N326" s="114">
        <v>50.7</v>
      </c>
      <c r="O326" s="92">
        <f>SUM(N326*D326)/1000</f>
        <v>0.73008000000000006</v>
      </c>
    </row>
    <row r="327" spans="1:15" x14ac:dyDescent="0.25">
      <c r="A327" s="782"/>
      <c r="B327" s="107" t="s">
        <v>19</v>
      </c>
      <c r="C327" s="107"/>
      <c r="D327" s="63">
        <v>182.7</v>
      </c>
      <c r="E327" s="63">
        <v>182.7</v>
      </c>
      <c r="F327" s="63">
        <v>0</v>
      </c>
      <c r="G327" s="63">
        <v>0</v>
      </c>
      <c r="H327" s="63">
        <v>0</v>
      </c>
      <c r="I327" s="63">
        <v>0</v>
      </c>
      <c r="J327" s="96">
        <v>0</v>
      </c>
      <c r="K327" s="136"/>
      <c r="L327" s="785"/>
      <c r="M327" s="64"/>
      <c r="N327" s="114">
        <v>0</v>
      </c>
      <c r="O327" s="64">
        <f>SUM(N327*D327)/1000</f>
        <v>0</v>
      </c>
    </row>
    <row r="328" spans="1:15" x14ac:dyDescent="0.25">
      <c r="A328" s="782"/>
      <c r="B328" s="107"/>
      <c r="C328" s="107"/>
      <c r="D328" s="63"/>
      <c r="E328" s="63"/>
      <c r="F328" s="118">
        <f>SUM(F325:F327)</f>
        <v>0.93600000000000005</v>
      </c>
      <c r="G328" s="118">
        <f>SUM(G325:G327)</f>
        <v>5.3999999999999999E-2</v>
      </c>
      <c r="H328" s="118">
        <f>SUM(H325:H327)</f>
        <v>23.551000000000002</v>
      </c>
      <c r="I328" s="118">
        <f>SUM(I325:I327)</f>
        <v>96.335999999999999</v>
      </c>
      <c r="J328" s="118">
        <f>SUM(J325:J327)</f>
        <v>0.72</v>
      </c>
      <c r="K328" s="153"/>
      <c r="L328" s="785"/>
      <c r="M328" s="64"/>
      <c r="N328" s="65"/>
      <c r="O328" s="72">
        <f>SUM(O325:O327)</f>
        <v>2.5300799999999999</v>
      </c>
    </row>
    <row r="329" spans="1:15" ht="30" x14ac:dyDescent="0.25">
      <c r="A329" s="782"/>
      <c r="B329" s="435" t="s">
        <v>324</v>
      </c>
      <c r="C329" s="124">
        <v>70</v>
      </c>
      <c r="D329" s="63">
        <v>70</v>
      </c>
      <c r="E329" s="63">
        <v>70</v>
      </c>
      <c r="F329" s="118">
        <v>3.85</v>
      </c>
      <c r="G329" s="118">
        <v>1.5</v>
      </c>
      <c r="H329" s="118">
        <v>24.9</v>
      </c>
      <c r="I329" s="118">
        <v>131</v>
      </c>
      <c r="J329" s="139">
        <v>0</v>
      </c>
      <c r="K329" s="153" t="s">
        <v>73</v>
      </c>
      <c r="L329" s="785"/>
      <c r="M329" s="64">
        <v>40</v>
      </c>
      <c r="N329" s="114">
        <v>35</v>
      </c>
      <c r="O329" s="72">
        <f>SUM(N329*D329)/1000</f>
        <v>2.4500000000000002</v>
      </c>
    </row>
    <row r="330" spans="1:15" x14ac:dyDescent="0.25">
      <c r="A330" s="783"/>
      <c r="B330" s="124" t="s">
        <v>74</v>
      </c>
      <c r="C330" s="124"/>
      <c r="D330" s="180"/>
      <c r="E330" s="180"/>
      <c r="F330" s="265">
        <f>SUM(F306,F317,F323,F328:F329)</f>
        <v>20.004000000000005</v>
      </c>
      <c r="G330" s="265">
        <f>SUM(G306,G317,G323,G328:G329)</f>
        <v>21.077499999999997</v>
      </c>
      <c r="H330" s="265">
        <f>SUM(H306,H317,H323,H328:H329)</f>
        <v>87.700400000000002</v>
      </c>
      <c r="I330" s="265">
        <f>SUM(I306,I317,I323,I328:I329)</f>
        <v>622.47299999999996</v>
      </c>
      <c r="J330" s="265">
        <f>SUM(J306,J317,J323,J328:J329)</f>
        <v>38.152499999999996</v>
      </c>
      <c r="K330" s="158"/>
      <c r="L330" s="786"/>
      <c r="M330" s="69">
        <f>SUM(M307:M329)</f>
        <v>440</v>
      </c>
      <c r="N330" s="65"/>
      <c r="O330" s="71" t="e">
        <f>SUM(#REF!,O317,#REF!,O328:O329)</f>
        <v>#REF!</v>
      </c>
    </row>
    <row r="331" spans="1:15" ht="16.5" customHeight="1" x14ac:dyDescent="0.25">
      <c r="A331" s="5" t="s">
        <v>114</v>
      </c>
      <c r="B331" s="13"/>
      <c r="C331" s="4"/>
      <c r="D331" s="105"/>
      <c r="E331" s="106"/>
      <c r="F331" s="63"/>
      <c r="G331" s="63"/>
      <c r="H331" s="63"/>
      <c r="I331" s="63"/>
      <c r="J331" s="96"/>
      <c r="K331" s="125"/>
      <c r="L331" s="464"/>
      <c r="M331" s="64"/>
      <c r="N331" s="65"/>
      <c r="O331" s="64"/>
    </row>
    <row r="332" spans="1:15" x14ac:dyDescent="0.25">
      <c r="A332" s="781"/>
      <c r="B332" s="362" t="s">
        <v>318</v>
      </c>
      <c r="C332" s="339">
        <v>50</v>
      </c>
      <c r="D332" s="340"/>
      <c r="E332" s="340"/>
      <c r="F332" s="401">
        <f>F333+F335</f>
        <v>3.0591000000000004</v>
      </c>
      <c r="G332" s="401">
        <f>G333+G335</f>
        <v>0.32669999999999999</v>
      </c>
      <c r="H332" s="401">
        <f>H333+H335</f>
        <v>35.492999999999995</v>
      </c>
      <c r="I332" s="401">
        <f>I333+I335</f>
        <v>156.09799999999998</v>
      </c>
      <c r="J332" s="401">
        <f>J333+J335</f>
        <v>0</v>
      </c>
      <c r="K332" s="488" t="s">
        <v>319</v>
      </c>
      <c r="L332" s="784" t="s">
        <v>43</v>
      </c>
      <c r="M332" s="64">
        <v>130</v>
      </c>
      <c r="N332" s="65"/>
      <c r="O332" s="68"/>
    </row>
    <row r="333" spans="1:15" x14ac:dyDescent="0.25">
      <c r="A333" s="782"/>
      <c r="B333" s="404" t="s">
        <v>247</v>
      </c>
      <c r="C333" s="354"/>
      <c r="D333" s="340">
        <v>29.7</v>
      </c>
      <c r="E333" s="340">
        <v>29.7</v>
      </c>
      <c r="F333" s="340">
        <f>10.3*E333/100</f>
        <v>3.0591000000000004</v>
      </c>
      <c r="G333" s="340">
        <f>1.1*E333/100</f>
        <v>0.32669999999999999</v>
      </c>
      <c r="H333" s="340">
        <f>69*E333/100</f>
        <v>20.492999999999999</v>
      </c>
      <c r="I333" s="345">
        <f>334*E333/100</f>
        <v>99.197999999999993</v>
      </c>
      <c r="J333" s="346">
        <v>0</v>
      </c>
      <c r="K333" s="483"/>
      <c r="L333" s="785"/>
      <c r="M333" s="64"/>
      <c r="N333" s="144">
        <v>209.73</v>
      </c>
      <c r="O333" s="68">
        <f>SUM(N333*D333)/1000</f>
        <v>6.2289810000000001</v>
      </c>
    </row>
    <row r="334" spans="1:15" x14ac:dyDescent="0.25">
      <c r="A334" s="782"/>
      <c r="B334" s="406" t="s">
        <v>279</v>
      </c>
      <c r="C334" s="354"/>
      <c r="D334" s="340">
        <v>1.6</v>
      </c>
      <c r="E334" s="340">
        <v>1.6</v>
      </c>
      <c r="F334" s="340">
        <f>0.8*E334/100</f>
        <v>1.2800000000000002E-2</v>
      </c>
      <c r="G334" s="340">
        <f>72.5*E334/100</f>
        <v>1.1599999999999999</v>
      </c>
      <c r="H334" s="340">
        <f>1.3*E334/100</f>
        <v>2.0799999999999999E-2</v>
      </c>
      <c r="I334" s="345">
        <f>661*E334/100</f>
        <v>10.576000000000001</v>
      </c>
      <c r="J334" s="346">
        <v>0</v>
      </c>
      <c r="K334" s="483"/>
      <c r="L334" s="785"/>
      <c r="M334" s="64"/>
      <c r="N334" s="144">
        <v>32.659999999999997</v>
      </c>
      <c r="O334" s="68">
        <f>SUM(N334*D334)/1000</f>
        <v>5.2255999999999997E-2</v>
      </c>
    </row>
    <row r="335" spans="1:15" x14ac:dyDescent="0.25">
      <c r="A335" s="782"/>
      <c r="B335" s="353" t="s">
        <v>230</v>
      </c>
      <c r="C335" s="343"/>
      <c r="D335" s="352">
        <v>1.6</v>
      </c>
      <c r="E335" s="352">
        <v>1.6</v>
      </c>
      <c r="F335" s="359">
        <v>0</v>
      </c>
      <c r="G335" s="359">
        <v>0</v>
      </c>
      <c r="H335" s="359">
        <v>15</v>
      </c>
      <c r="I335" s="359">
        <v>56.9</v>
      </c>
      <c r="J335" s="346">
        <v>0</v>
      </c>
      <c r="K335" s="483"/>
      <c r="L335" s="785"/>
      <c r="M335" s="64"/>
      <c r="N335" s="144">
        <v>4.6989999999999998</v>
      </c>
      <c r="O335" s="68">
        <f>SUM(N335*D335)/40</f>
        <v>0.18795999999999999</v>
      </c>
    </row>
    <row r="336" spans="1:15" x14ac:dyDescent="0.25">
      <c r="A336" s="782"/>
      <c r="B336" s="353" t="s">
        <v>280</v>
      </c>
      <c r="C336" s="343"/>
      <c r="D336" s="340">
        <v>1.6</v>
      </c>
      <c r="E336" s="340">
        <v>1.6</v>
      </c>
      <c r="F336" s="340">
        <v>0.41</v>
      </c>
      <c r="G336" s="340">
        <v>0.4</v>
      </c>
      <c r="H336" s="340">
        <v>0</v>
      </c>
      <c r="I336" s="345">
        <v>5.0999999999999996</v>
      </c>
      <c r="J336" s="346">
        <v>0</v>
      </c>
      <c r="K336" s="483"/>
      <c r="L336" s="785"/>
      <c r="M336" s="64"/>
      <c r="N336" s="144">
        <v>50.7</v>
      </c>
      <c r="O336" s="68">
        <f t="shared" ref="O336:O342" si="29">SUM(N336*D336)/1000</f>
        <v>8.1119999999999998E-2</v>
      </c>
    </row>
    <row r="337" spans="1:15" x14ac:dyDescent="0.25">
      <c r="A337" s="782"/>
      <c r="B337" s="441" t="s">
        <v>231</v>
      </c>
      <c r="C337" s="354"/>
      <c r="D337" s="340">
        <v>0.5</v>
      </c>
      <c r="E337" s="340">
        <v>0.5</v>
      </c>
      <c r="F337" s="340">
        <v>0</v>
      </c>
      <c r="G337" s="340">
        <v>0</v>
      </c>
      <c r="H337" s="340">
        <v>0</v>
      </c>
      <c r="I337" s="345">
        <v>0</v>
      </c>
      <c r="J337" s="346">
        <v>0</v>
      </c>
      <c r="K337" s="483"/>
      <c r="L337" s="785"/>
      <c r="M337" s="64"/>
      <c r="N337" s="336">
        <v>180</v>
      </c>
      <c r="O337" s="68">
        <f t="shared" si="29"/>
        <v>0.09</v>
      </c>
    </row>
    <row r="338" spans="1:15" x14ac:dyDescent="0.25">
      <c r="A338" s="782"/>
      <c r="B338" s="404" t="s">
        <v>282</v>
      </c>
      <c r="C338" s="363" t="s">
        <v>48</v>
      </c>
      <c r="D338" s="340">
        <v>0.35</v>
      </c>
      <c r="E338" s="340">
        <v>0.35</v>
      </c>
      <c r="F338" s="340">
        <v>0</v>
      </c>
      <c r="G338" s="340">
        <v>0</v>
      </c>
      <c r="H338" s="340">
        <v>0</v>
      </c>
      <c r="I338" s="340">
        <v>8.1</v>
      </c>
      <c r="J338" s="340">
        <v>0</v>
      </c>
      <c r="K338" s="482" t="s">
        <v>283</v>
      </c>
      <c r="L338" s="785"/>
      <c r="M338" s="64"/>
      <c r="N338" s="144">
        <v>2500</v>
      </c>
      <c r="O338" s="68">
        <f t="shared" si="29"/>
        <v>0.875</v>
      </c>
    </row>
    <row r="339" spans="1:15" x14ac:dyDescent="0.25">
      <c r="A339" s="782"/>
      <c r="B339" s="353" t="s">
        <v>229</v>
      </c>
      <c r="C339" s="343"/>
      <c r="D339" s="340">
        <v>12</v>
      </c>
      <c r="E339" s="340">
        <v>12</v>
      </c>
      <c r="F339" s="340">
        <v>0</v>
      </c>
      <c r="G339" s="340">
        <v>0</v>
      </c>
      <c r="H339" s="355">
        <v>0</v>
      </c>
      <c r="I339" s="356">
        <v>0</v>
      </c>
      <c r="J339" s="346">
        <v>0</v>
      </c>
      <c r="K339" s="480"/>
      <c r="L339" s="785"/>
      <c r="M339" s="64"/>
      <c r="N339" s="144">
        <v>376.98</v>
      </c>
      <c r="O339" s="68">
        <f t="shared" si="29"/>
        <v>4.5237600000000002</v>
      </c>
    </row>
    <row r="340" spans="1:15" x14ac:dyDescent="0.25">
      <c r="A340" s="782"/>
      <c r="B340" s="353" t="s">
        <v>320</v>
      </c>
      <c r="C340" s="405"/>
      <c r="D340" s="340" t="s">
        <v>48</v>
      </c>
      <c r="E340" s="340" t="s">
        <v>48</v>
      </c>
      <c r="F340" s="340" t="s">
        <v>48</v>
      </c>
      <c r="G340" s="340" t="s">
        <v>48</v>
      </c>
      <c r="H340" s="340" t="s">
        <v>48</v>
      </c>
      <c r="I340" s="345" t="s">
        <v>48</v>
      </c>
      <c r="J340" s="346" t="s">
        <v>48</v>
      </c>
      <c r="K340" s="480"/>
      <c r="L340" s="785"/>
      <c r="M340" s="64"/>
      <c r="N340" s="144">
        <v>60.5</v>
      </c>
      <c r="O340" s="68" t="e">
        <f t="shared" si="29"/>
        <v>#VALUE!</v>
      </c>
    </row>
    <row r="341" spans="1:15" x14ac:dyDescent="0.25">
      <c r="A341" s="782"/>
      <c r="B341" s="353" t="s">
        <v>203</v>
      </c>
      <c r="C341" s="354"/>
      <c r="D341" s="340">
        <v>22</v>
      </c>
      <c r="E341" s="340">
        <v>22</v>
      </c>
      <c r="F341" s="340">
        <v>0</v>
      </c>
      <c r="G341" s="340">
        <v>0.2</v>
      </c>
      <c r="H341" s="340">
        <v>0</v>
      </c>
      <c r="I341" s="345">
        <v>1.8</v>
      </c>
      <c r="J341" s="346">
        <v>0</v>
      </c>
      <c r="K341" s="480"/>
      <c r="L341" s="785"/>
      <c r="M341" s="64"/>
      <c r="N341" s="144">
        <v>153</v>
      </c>
      <c r="O341" s="68">
        <f t="shared" si="29"/>
        <v>3.3660000000000001</v>
      </c>
    </row>
    <row r="342" spans="1:15" x14ac:dyDescent="0.25">
      <c r="A342" s="782"/>
      <c r="B342" s="353" t="s">
        <v>280</v>
      </c>
      <c r="C342" s="343"/>
      <c r="D342" s="340">
        <v>1</v>
      </c>
      <c r="E342" s="340">
        <v>1</v>
      </c>
      <c r="F342" s="340">
        <v>0.41</v>
      </c>
      <c r="G342" s="340">
        <v>0.4</v>
      </c>
      <c r="H342" s="340">
        <v>0</v>
      </c>
      <c r="I342" s="345">
        <v>5.0999999999999996</v>
      </c>
      <c r="J342" s="346">
        <v>0</v>
      </c>
      <c r="K342" s="480"/>
      <c r="L342" s="785"/>
      <c r="M342" s="64"/>
      <c r="N342" s="144">
        <v>16.62</v>
      </c>
      <c r="O342" s="68">
        <f t="shared" si="29"/>
        <v>1.6619999999999999E-2</v>
      </c>
    </row>
    <row r="343" spans="1:15" x14ac:dyDescent="0.25">
      <c r="A343" s="782"/>
      <c r="B343" s="353" t="s">
        <v>230</v>
      </c>
      <c r="C343" s="354"/>
      <c r="D343" s="340">
        <v>1.2</v>
      </c>
      <c r="E343" s="340">
        <v>1.2</v>
      </c>
      <c r="F343" s="340">
        <v>0</v>
      </c>
      <c r="G343" s="340">
        <v>0</v>
      </c>
      <c r="H343" s="340">
        <v>2</v>
      </c>
      <c r="I343" s="345">
        <v>10.1</v>
      </c>
      <c r="J343" s="346">
        <v>0</v>
      </c>
      <c r="K343" s="480"/>
      <c r="L343" s="785"/>
      <c r="M343" s="64"/>
      <c r="N343" s="144"/>
      <c r="O343" s="68"/>
    </row>
    <row r="344" spans="1:15" x14ac:dyDescent="0.25">
      <c r="A344" s="782"/>
      <c r="B344" s="404" t="s">
        <v>247</v>
      </c>
      <c r="C344" s="354"/>
      <c r="D344" s="340">
        <v>1</v>
      </c>
      <c r="E344" s="340">
        <v>1</v>
      </c>
      <c r="F344" s="340">
        <f>10.3*E344/100</f>
        <v>0.10300000000000001</v>
      </c>
      <c r="G344" s="340">
        <f>1.1*E344/100</f>
        <v>1.1000000000000001E-2</v>
      </c>
      <c r="H344" s="340">
        <f>69*E344/100</f>
        <v>0.69</v>
      </c>
      <c r="I344" s="345">
        <f>334*E344/100</f>
        <v>3.34</v>
      </c>
      <c r="J344" s="346">
        <v>0</v>
      </c>
      <c r="K344" s="483"/>
      <c r="L344" s="785"/>
      <c r="M344" s="64"/>
      <c r="N344" s="144"/>
      <c r="O344" s="68"/>
    </row>
    <row r="345" spans="1:15" ht="30" x14ac:dyDescent="0.25">
      <c r="A345" s="782"/>
      <c r="B345" s="404" t="s">
        <v>321</v>
      </c>
      <c r="C345" s="354"/>
      <c r="D345" s="340">
        <v>1.4</v>
      </c>
      <c r="E345" s="340">
        <v>1.4</v>
      </c>
      <c r="F345" s="340">
        <f>10.3*E345/100</f>
        <v>0.14419999999999999</v>
      </c>
      <c r="G345" s="340">
        <f>1.1*E345/100</f>
        <v>1.54E-2</v>
      </c>
      <c r="H345" s="340">
        <f>69*E345/100</f>
        <v>0.96599999999999997</v>
      </c>
      <c r="I345" s="345">
        <f>334*E345/100</f>
        <v>4.6759999999999993</v>
      </c>
      <c r="J345" s="346">
        <v>0</v>
      </c>
      <c r="K345" s="483"/>
      <c r="L345" s="785"/>
      <c r="M345" s="64"/>
      <c r="N345" s="144">
        <v>43.22</v>
      </c>
      <c r="O345" s="68">
        <f>SUM(N345*D345)/1000</f>
        <v>6.0507999999999992E-2</v>
      </c>
    </row>
    <row r="346" spans="1:15" ht="30" x14ac:dyDescent="0.25">
      <c r="A346" s="782"/>
      <c r="B346" s="353" t="s">
        <v>322</v>
      </c>
      <c r="C346" s="343"/>
      <c r="D346" s="340">
        <v>1.2</v>
      </c>
      <c r="E346" s="340">
        <v>1.2</v>
      </c>
      <c r="F346" s="340">
        <v>0.41</v>
      </c>
      <c r="G346" s="340">
        <v>0.4</v>
      </c>
      <c r="H346" s="340">
        <v>0</v>
      </c>
      <c r="I346" s="345">
        <v>5.0999999999999996</v>
      </c>
      <c r="J346" s="346">
        <v>0</v>
      </c>
      <c r="K346" s="483"/>
      <c r="L346" s="785"/>
      <c r="M346" s="64"/>
      <c r="N346" s="144">
        <v>376.98</v>
      </c>
      <c r="O346" s="68">
        <f>SUM(N346*D346)/1000</f>
        <v>0.45237600000000006</v>
      </c>
    </row>
    <row r="347" spans="1:15" x14ac:dyDescent="0.25">
      <c r="A347" s="782"/>
      <c r="B347" s="441" t="s">
        <v>323</v>
      </c>
      <c r="C347" s="354"/>
      <c r="D347" s="340">
        <v>0.2</v>
      </c>
      <c r="E347" s="340">
        <v>0.2</v>
      </c>
      <c r="F347" s="340">
        <v>0</v>
      </c>
      <c r="G347" s="340">
        <f>99.9*E347/100</f>
        <v>0.19980000000000003</v>
      </c>
      <c r="H347" s="355">
        <v>0</v>
      </c>
      <c r="I347" s="356">
        <f>899*E347/100</f>
        <v>1.798</v>
      </c>
      <c r="J347" s="346">
        <v>0</v>
      </c>
      <c r="K347" s="483"/>
      <c r="L347" s="785"/>
      <c r="M347" s="64"/>
      <c r="N347" s="144">
        <v>27.17</v>
      </c>
      <c r="O347" s="68">
        <f>SUM(N347*D347)/1000</f>
        <v>5.4340000000000013E-3</v>
      </c>
    </row>
    <row r="348" spans="1:15" x14ac:dyDescent="0.25">
      <c r="A348" s="782"/>
      <c r="B348" s="362" t="s">
        <v>263</v>
      </c>
      <c r="C348" s="363">
        <v>180</v>
      </c>
      <c r="D348" s="340"/>
      <c r="E348" s="340"/>
      <c r="F348" s="340">
        <f>F349+F350+F351+F352</f>
        <v>8.5760000000000005</v>
      </c>
      <c r="G348" s="340">
        <f>G349+G350+G351+G352</f>
        <v>2.9440000000000004</v>
      </c>
      <c r="H348" s="340">
        <f>H349+H350+H351+H352</f>
        <v>21.394000000000002</v>
      </c>
      <c r="I348" s="340">
        <f>I349+I350+I351+I352</f>
        <v>155.80000000000001</v>
      </c>
      <c r="J348" s="340">
        <f>J349+J350+J351+J352</f>
        <v>4.1959999999999997</v>
      </c>
      <c r="K348" s="479" t="s">
        <v>264</v>
      </c>
      <c r="L348" s="785"/>
      <c r="M348" s="64">
        <v>190</v>
      </c>
      <c r="N348" s="65"/>
      <c r="O348" s="82"/>
    </row>
    <row r="349" spans="1:15" x14ac:dyDescent="0.25">
      <c r="A349" s="782"/>
      <c r="B349" s="353" t="s">
        <v>265</v>
      </c>
      <c r="C349" s="343"/>
      <c r="D349" s="352">
        <v>30</v>
      </c>
      <c r="E349" s="352">
        <v>30</v>
      </c>
      <c r="F349" s="340">
        <f>20*D349/100</f>
        <v>6</v>
      </c>
      <c r="G349" s="340">
        <v>0</v>
      </c>
      <c r="H349" s="340">
        <f>6.9*D349/100</f>
        <v>2.0699999999999998</v>
      </c>
      <c r="I349" s="345">
        <f>151.8*D349/100</f>
        <v>45.54</v>
      </c>
      <c r="J349" s="346">
        <f>10*D349/100</f>
        <v>3</v>
      </c>
      <c r="K349" s="479" t="s">
        <v>266</v>
      </c>
      <c r="L349" s="785"/>
      <c r="M349" s="64"/>
      <c r="N349" s="79"/>
      <c r="O349" s="64"/>
    </row>
    <row r="350" spans="1:15" x14ac:dyDescent="0.25">
      <c r="A350" s="782"/>
      <c r="B350" s="353" t="s">
        <v>230</v>
      </c>
      <c r="C350" s="343"/>
      <c r="D350" s="352">
        <v>10</v>
      </c>
      <c r="E350" s="352">
        <v>10</v>
      </c>
      <c r="F350" s="359">
        <v>0</v>
      </c>
      <c r="G350" s="359">
        <v>0</v>
      </c>
      <c r="H350" s="359">
        <v>15</v>
      </c>
      <c r="I350" s="359">
        <v>56.9</v>
      </c>
      <c r="J350" s="346">
        <v>0</v>
      </c>
      <c r="K350" s="480"/>
      <c r="L350" s="785"/>
      <c r="M350" s="64"/>
      <c r="N350" s="114">
        <v>400</v>
      </c>
      <c r="O350" s="68">
        <f>SUM(N350*D350)/1000</f>
        <v>4</v>
      </c>
    </row>
    <row r="351" spans="1:15" x14ac:dyDescent="0.25">
      <c r="A351" s="782"/>
      <c r="B351" s="353" t="s">
        <v>229</v>
      </c>
      <c r="C351" s="343"/>
      <c r="D351" s="352">
        <v>60</v>
      </c>
      <c r="E351" s="352">
        <v>60</v>
      </c>
      <c r="F351" s="340">
        <v>0</v>
      </c>
      <c r="G351" s="340">
        <v>0</v>
      </c>
      <c r="H351" s="340">
        <v>0</v>
      </c>
      <c r="I351" s="345">
        <v>0</v>
      </c>
      <c r="J351" s="346">
        <v>0</v>
      </c>
      <c r="K351" s="480"/>
      <c r="L351" s="785"/>
      <c r="M351" s="64"/>
      <c r="N351" s="114">
        <v>0</v>
      </c>
      <c r="O351" s="68">
        <f>SUM(N351*D351)/1000</f>
        <v>0</v>
      </c>
    </row>
    <row r="352" spans="1:15" x14ac:dyDescent="0.25">
      <c r="A352" s="782"/>
      <c r="B352" s="353" t="s">
        <v>228</v>
      </c>
      <c r="C352" s="354"/>
      <c r="D352" s="352">
        <v>92</v>
      </c>
      <c r="E352" s="352">
        <v>92</v>
      </c>
      <c r="F352" s="340">
        <f>2.8*E352/100</f>
        <v>2.5759999999999996</v>
      </c>
      <c r="G352" s="340">
        <f>3.2*E352/100</f>
        <v>2.9440000000000004</v>
      </c>
      <c r="H352" s="340">
        <f>4.7*E352/100</f>
        <v>4.3240000000000007</v>
      </c>
      <c r="I352" s="345">
        <f>58*E352/100</f>
        <v>53.36</v>
      </c>
      <c r="J352" s="346">
        <f>1.3*E352/100</f>
        <v>1.1960000000000002</v>
      </c>
      <c r="K352" s="480"/>
      <c r="L352" s="785"/>
      <c r="M352" s="64"/>
      <c r="N352" s="114">
        <v>50.7</v>
      </c>
      <c r="O352" s="68">
        <f>SUM(N352*D352)/1000</f>
        <v>4.6644000000000005</v>
      </c>
    </row>
    <row r="353" spans="1:15" x14ac:dyDescent="0.25">
      <c r="A353" s="782"/>
      <c r="B353" s="107"/>
      <c r="C353" s="107"/>
      <c r="D353" s="63"/>
      <c r="E353" s="63"/>
      <c r="F353" s="274">
        <f>SUM(F350:F352)</f>
        <v>2.5759999999999996</v>
      </c>
      <c r="G353" s="274">
        <f>SUM(G350:G352)</f>
        <v>2.9440000000000004</v>
      </c>
      <c r="H353" s="274">
        <f>SUM(H350:H352)</f>
        <v>19.324000000000002</v>
      </c>
      <c r="I353" s="274">
        <f>SUM(I350:I352)</f>
        <v>110.25999999999999</v>
      </c>
      <c r="J353" s="274">
        <f>SUM(J350:J352)</f>
        <v>1.1960000000000002</v>
      </c>
      <c r="K353" s="153"/>
      <c r="L353" s="785"/>
      <c r="M353" s="64"/>
      <c r="N353" s="65"/>
      <c r="O353" s="72">
        <f>SUM(O350:O352)</f>
        <v>8.6644000000000005</v>
      </c>
    </row>
    <row r="354" spans="1:15" x14ac:dyDescent="0.25">
      <c r="A354" s="783"/>
      <c r="B354" s="124" t="s">
        <v>46</v>
      </c>
      <c r="C354" s="124"/>
      <c r="D354" s="63"/>
      <c r="E354" s="63"/>
      <c r="F354" s="221">
        <f>SUM(F332,F353)</f>
        <v>5.6350999999999996</v>
      </c>
      <c r="G354" s="221">
        <f t="shared" ref="G354:J354" si="30">SUM(G332,G353)</f>
        <v>3.2707000000000006</v>
      </c>
      <c r="H354" s="221">
        <f t="shared" si="30"/>
        <v>54.816999999999993</v>
      </c>
      <c r="I354" s="221">
        <f t="shared" si="30"/>
        <v>266.35799999999995</v>
      </c>
      <c r="J354" s="221">
        <f t="shared" si="30"/>
        <v>1.1960000000000002</v>
      </c>
      <c r="K354" s="156"/>
      <c r="L354" s="786"/>
      <c r="M354" s="69">
        <f>SUM(M332:M353)</f>
        <v>320</v>
      </c>
      <c r="N354" s="65"/>
      <c r="O354" s="71" t="e">
        <f>SUM(#REF!,O353)</f>
        <v>#REF!</v>
      </c>
    </row>
    <row r="355" spans="1:15" ht="25.5" x14ac:dyDescent="0.25">
      <c r="A355" s="10" t="s">
        <v>117</v>
      </c>
      <c r="B355" s="146"/>
      <c r="C355" s="22"/>
      <c r="D355" s="23"/>
      <c r="E355" s="23"/>
      <c r="F355" s="275">
        <f>SUM(F295,F330,F354)</f>
        <v>40.294500000000006</v>
      </c>
      <c r="G355" s="275">
        <f>SUM(G295,G330,G354)</f>
        <v>37.617799999999995</v>
      </c>
      <c r="H355" s="275">
        <f>SUM(H295,H330,H354)</f>
        <v>223.12619999999998</v>
      </c>
      <c r="I355" s="275">
        <f>SUM(I295,I330,I354)</f>
        <v>1379.9253999999999</v>
      </c>
      <c r="J355" s="275">
        <f>SUM(J295,J330,J354)</f>
        <v>43.061399999999992</v>
      </c>
      <c r="K355" s="24"/>
      <c r="L355" s="467"/>
      <c r="M355" s="73"/>
      <c r="N355" s="74"/>
      <c r="O355" s="80" t="e">
        <f>SUM(O295,O330,O354)</f>
        <v>#REF!</v>
      </c>
    </row>
    <row r="356" spans="1:15" x14ac:dyDescent="0.25">
      <c r="A356" s="5" t="s">
        <v>118</v>
      </c>
      <c r="B356" s="13"/>
      <c r="C356" s="13"/>
      <c r="D356" s="63"/>
      <c r="E356" s="63"/>
      <c r="F356" s="13"/>
      <c r="G356" s="13"/>
      <c r="H356" s="13"/>
      <c r="I356" s="13"/>
      <c r="J356" s="96"/>
      <c r="K356" s="125"/>
      <c r="L356" s="464"/>
      <c r="M356" s="64"/>
      <c r="N356" s="65"/>
      <c r="O356" s="64"/>
    </row>
    <row r="357" spans="1:15" x14ac:dyDescent="0.25">
      <c r="A357" s="456" t="s">
        <v>119</v>
      </c>
      <c r="B357" s="13"/>
      <c r="C357" s="13"/>
      <c r="D357" s="105"/>
      <c r="E357" s="106"/>
      <c r="F357" s="63"/>
      <c r="G357" s="63"/>
      <c r="H357" s="63"/>
      <c r="I357" s="63"/>
      <c r="J357" s="96"/>
      <c r="K357" s="125"/>
      <c r="L357" s="464"/>
      <c r="M357" s="64"/>
      <c r="N357" s="65"/>
      <c r="O357" s="64"/>
    </row>
    <row r="358" spans="1:15" ht="39.75" customHeight="1" x14ac:dyDescent="0.25">
      <c r="A358" s="457"/>
      <c r="B358" s="338" t="s">
        <v>225</v>
      </c>
      <c r="C358" s="339">
        <v>200</v>
      </c>
      <c r="D358" s="340"/>
      <c r="E358" s="340"/>
      <c r="F358" s="401">
        <f>F359+F360+F361+F362+F363</f>
        <v>5.7041000000000004</v>
      </c>
      <c r="G358" s="401">
        <f>G359+G360+G361+G362+G363</f>
        <v>3.3414000000000001</v>
      </c>
      <c r="H358" s="401">
        <f>H359+H360+H361+H362+H363</f>
        <v>39.474900000000005</v>
      </c>
      <c r="I358" s="401">
        <f>I359+I360+I361+I362+I363</f>
        <v>208.82599999999999</v>
      </c>
      <c r="J358" s="401">
        <f>J359+J360+J361+J362+J363</f>
        <v>1.2376</v>
      </c>
      <c r="K358" s="483" t="s">
        <v>226</v>
      </c>
      <c r="L358" s="465"/>
      <c r="M358" s="64">
        <v>180</v>
      </c>
      <c r="N358" s="65"/>
      <c r="O358" s="64"/>
    </row>
    <row r="359" spans="1:15" x14ac:dyDescent="0.25">
      <c r="A359" s="457"/>
      <c r="B359" s="342" t="s">
        <v>227</v>
      </c>
      <c r="C359" s="343"/>
      <c r="D359" s="340">
        <v>29.5</v>
      </c>
      <c r="E359" s="340">
        <v>29.5</v>
      </c>
      <c r="F359" s="340">
        <f>10.3*E359/100</f>
        <v>3.0385000000000004</v>
      </c>
      <c r="G359" s="340">
        <f>1*E359/100</f>
        <v>0.29499999999999998</v>
      </c>
      <c r="H359" s="344">
        <f>67.9*E359/100</f>
        <v>20.030500000000004</v>
      </c>
      <c r="I359" s="345">
        <f>328*E359/100</f>
        <v>96.76</v>
      </c>
      <c r="J359" s="346">
        <v>0</v>
      </c>
      <c r="K359" s="480"/>
      <c r="L359" s="465"/>
      <c r="M359" s="64"/>
      <c r="N359" s="114">
        <v>43.22</v>
      </c>
      <c r="O359" s="68">
        <f>SUM(N359*D359)/1000</f>
        <v>1.2749900000000001</v>
      </c>
    </row>
    <row r="360" spans="1:15" x14ac:dyDescent="0.25">
      <c r="A360" s="457"/>
      <c r="B360" s="342" t="s">
        <v>228</v>
      </c>
      <c r="C360" s="343"/>
      <c r="D360" s="340">
        <v>95.2</v>
      </c>
      <c r="E360" s="340">
        <v>95.2</v>
      </c>
      <c r="F360" s="340">
        <f>2.8*E360/100</f>
        <v>2.6656</v>
      </c>
      <c r="G360" s="340">
        <f>3.2*E360/100</f>
        <v>3.0464000000000002</v>
      </c>
      <c r="H360" s="344">
        <f>4.7*E360/100</f>
        <v>4.4744000000000002</v>
      </c>
      <c r="I360" s="345">
        <f>58*E360/100</f>
        <v>55.216000000000001</v>
      </c>
      <c r="J360" s="346">
        <f>1.3*E360/100</f>
        <v>1.2376</v>
      </c>
      <c r="K360" s="480"/>
      <c r="L360" s="465"/>
      <c r="M360" s="64"/>
      <c r="N360" s="114">
        <v>0</v>
      </c>
      <c r="O360" s="68">
        <f>SUM(N360*D360)/1000</f>
        <v>0</v>
      </c>
    </row>
    <row r="361" spans="1:15" x14ac:dyDescent="0.25">
      <c r="A361" s="457"/>
      <c r="B361" s="342" t="s">
        <v>229</v>
      </c>
      <c r="C361" s="343"/>
      <c r="D361" s="340">
        <v>71.400000000000006</v>
      </c>
      <c r="E361" s="340">
        <v>71.400000000000006</v>
      </c>
      <c r="F361" s="340">
        <v>0</v>
      </c>
      <c r="G361" s="340">
        <v>0</v>
      </c>
      <c r="H361" s="344">
        <v>0</v>
      </c>
      <c r="I361" s="345">
        <v>0</v>
      </c>
      <c r="J361" s="346">
        <v>0</v>
      </c>
      <c r="K361" s="480"/>
      <c r="L361" s="465"/>
      <c r="M361" s="64"/>
      <c r="N361" s="114">
        <v>32.659999999999997</v>
      </c>
      <c r="O361" s="68">
        <f>SUM(N361*D361)/1000</f>
        <v>2.3319239999999999</v>
      </c>
    </row>
    <row r="362" spans="1:15" x14ac:dyDescent="0.25">
      <c r="A362" s="457"/>
      <c r="B362" s="342" t="s">
        <v>230</v>
      </c>
      <c r="C362" s="343"/>
      <c r="D362" s="340">
        <v>15</v>
      </c>
      <c r="E362" s="340">
        <v>15</v>
      </c>
      <c r="F362" s="340">
        <v>0</v>
      </c>
      <c r="G362" s="340">
        <v>0</v>
      </c>
      <c r="H362" s="347">
        <f>99.8*E362/100</f>
        <v>14.97</v>
      </c>
      <c r="I362" s="345">
        <f>379*E362/100</f>
        <v>56.85</v>
      </c>
      <c r="J362" s="346">
        <v>0</v>
      </c>
      <c r="K362" s="480"/>
      <c r="L362" s="465"/>
      <c r="M362" s="64"/>
      <c r="N362" s="114">
        <v>376.98</v>
      </c>
      <c r="O362" s="68">
        <f>SUM(N362*D362)/1000</f>
        <v>5.6547000000000009</v>
      </c>
    </row>
    <row r="363" spans="1:15" x14ac:dyDescent="0.25">
      <c r="A363" s="457"/>
      <c r="B363" s="342" t="s">
        <v>231</v>
      </c>
      <c r="C363" s="343"/>
      <c r="D363" s="340">
        <v>0.3</v>
      </c>
      <c r="E363" s="340">
        <v>0.3</v>
      </c>
      <c r="F363" s="340">
        <v>0</v>
      </c>
      <c r="G363" s="340">
        <v>0</v>
      </c>
      <c r="H363" s="340">
        <v>0</v>
      </c>
      <c r="I363" s="345">
        <v>0</v>
      </c>
      <c r="J363" s="346">
        <v>0</v>
      </c>
      <c r="K363" s="480"/>
      <c r="L363" s="465"/>
      <c r="M363" s="64"/>
      <c r="N363" s="114">
        <v>50.7</v>
      </c>
      <c r="O363" s="68">
        <f t="shared" ref="O363:O364" si="31">SUM(N363*D363)/1000</f>
        <v>1.5210000000000001E-2</v>
      </c>
    </row>
    <row r="364" spans="1:15" x14ac:dyDescent="0.25">
      <c r="A364" s="457"/>
      <c r="B364" s="173" t="s">
        <v>48</v>
      </c>
      <c r="C364" s="107"/>
      <c r="D364" s="63">
        <v>0</v>
      </c>
      <c r="E364" s="63">
        <v>0</v>
      </c>
      <c r="F364" s="63">
        <v>0</v>
      </c>
      <c r="G364" s="63">
        <v>0</v>
      </c>
      <c r="H364" s="63">
        <v>0</v>
      </c>
      <c r="I364" s="63">
        <v>0</v>
      </c>
      <c r="J364" s="96">
        <v>0</v>
      </c>
      <c r="K364" s="126"/>
      <c r="L364" s="465"/>
      <c r="M364" s="64"/>
      <c r="N364" s="114">
        <v>16.62</v>
      </c>
      <c r="O364" s="68">
        <f t="shared" si="31"/>
        <v>0</v>
      </c>
    </row>
    <row r="365" spans="1:15" x14ac:dyDescent="0.25">
      <c r="A365" s="782"/>
      <c r="B365" s="317" t="s">
        <v>23</v>
      </c>
      <c r="C365" s="105">
        <v>40</v>
      </c>
      <c r="D365" s="13"/>
      <c r="E365" s="123"/>
      <c r="F365" s="110"/>
      <c r="G365" s="110"/>
      <c r="H365" s="110"/>
      <c r="I365" s="110"/>
      <c r="J365" s="97"/>
      <c r="K365" s="112" t="s">
        <v>24</v>
      </c>
      <c r="L365" s="785"/>
      <c r="M365" s="64">
        <v>40</v>
      </c>
      <c r="N365" s="223"/>
      <c r="O365" s="64"/>
    </row>
    <row r="366" spans="1:15" x14ac:dyDescent="0.25">
      <c r="A366" s="782"/>
      <c r="B366" s="107" t="s">
        <v>21</v>
      </c>
      <c r="C366" s="194"/>
      <c r="D366" s="63">
        <v>10</v>
      </c>
      <c r="E366" s="63">
        <v>10</v>
      </c>
      <c r="F366" s="63">
        <v>0.08</v>
      </c>
      <c r="G366" s="63">
        <v>7.25</v>
      </c>
      <c r="H366" s="63">
        <v>0.13</v>
      </c>
      <c r="I366" s="63">
        <v>66.099999999999994</v>
      </c>
      <c r="J366" s="231">
        <v>0</v>
      </c>
      <c r="K366" s="112"/>
      <c r="L366" s="785"/>
      <c r="M366" s="64"/>
      <c r="N366" s="114">
        <v>376.98</v>
      </c>
      <c r="O366" s="68">
        <f>SUM(N366*D366)/1000</f>
        <v>3.7698</v>
      </c>
    </row>
    <row r="367" spans="1:15" x14ac:dyDescent="0.25">
      <c r="A367" s="782"/>
      <c r="B367" s="107" t="s">
        <v>106</v>
      </c>
      <c r="C367" s="194"/>
      <c r="D367" s="63">
        <v>30</v>
      </c>
      <c r="E367" s="63">
        <v>30</v>
      </c>
      <c r="F367" s="63">
        <v>2.31</v>
      </c>
      <c r="G367" s="63">
        <v>0.9</v>
      </c>
      <c r="H367" s="63">
        <v>14.94</v>
      </c>
      <c r="I367" s="63">
        <v>78.599999999999994</v>
      </c>
      <c r="J367" s="231">
        <v>0</v>
      </c>
      <c r="K367" s="112"/>
      <c r="L367" s="785"/>
      <c r="M367" s="64"/>
      <c r="N367" s="114">
        <v>50</v>
      </c>
      <c r="O367" s="68">
        <f>SUM(N367*D367)/1000</f>
        <v>1.5</v>
      </c>
    </row>
    <row r="368" spans="1:15" x14ac:dyDescent="0.25">
      <c r="A368" s="782"/>
      <c r="B368" s="107"/>
      <c r="C368" s="107"/>
      <c r="D368" s="63"/>
      <c r="E368" s="63"/>
      <c r="F368" s="118">
        <f>SUM(F366:F367)</f>
        <v>2.39</v>
      </c>
      <c r="G368" s="118">
        <f t="shared" ref="G368:J368" si="32">SUM(G366:G367)</f>
        <v>8.15</v>
      </c>
      <c r="H368" s="118">
        <f t="shared" si="32"/>
        <v>15.07</v>
      </c>
      <c r="I368" s="118">
        <f t="shared" si="32"/>
        <v>144.69999999999999</v>
      </c>
      <c r="J368" s="118">
        <f t="shared" si="32"/>
        <v>0</v>
      </c>
      <c r="K368" s="153"/>
      <c r="L368" s="785"/>
      <c r="M368" s="64"/>
      <c r="N368" s="47"/>
      <c r="O368" s="72">
        <f>SUM(O366:O367)</f>
        <v>5.2698</v>
      </c>
    </row>
    <row r="369" spans="1:15" x14ac:dyDescent="0.25">
      <c r="A369" s="782"/>
      <c r="B369" s="333" t="s">
        <v>99</v>
      </c>
      <c r="C369" s="124">
        <v>180</v>
      </c>
      <c r="D369" s="13"/>
      <c r="E369" s="13"/>
      <c r="F369" s="63"/>
      <c r="G369" s="63"/>
      <c r="H369" s="63"/>
      <c r="I369" s="63"/>
      <c r="J369" s="96"/>
      <c r="K369" s="155" t="s">
        <v>179</v>
      </c>
      <c r="L369" s="785"/>
      <c r="M369" s="64">
        <v>180</v>
      </c>
      <c r="N369" s="65"/>
      <c r="O369" s="89"/>
    </row>
    <row r="370" spans="1:15" x14ac:dyDescent="0.25">
      <c r="A370" s="782"/>
      <c r="B370" s="107" t="s">
        <v>100</v>
      </c>
      <c r="C370" s="107"/>
      <c r="D370" s="63">
        <v>2</v>
      </c>
      <c r="E370" s="63">
        <v>2</v>
      </c>
      <c r="F370" s="63">
        <v>0.48</v>
      </c>
      <c r="G370" s="63">
        <v>0.3</v>
      </c>
      <c r="H370" s="63">
        <v>0.20399999999999999</v>
      </c>
      <c r="I370" s="63">
        <v>5.78</v>
      </c>
      <c r="J370" s="231">
        <v>0</v>
      </c>
      <c r="K370" s="126"/>
      <c r="L370" s="785"/>
      <c r="M370" s="64"/>
      <c r="N370" s="114">
        <v>450</v>
      </c>
      <c r="O370" s="68">
        <f>SUM(N370*D370)/1000</f>
        <v>0.9</v>
      </c>
    </row>
    <row r="371" spans="1:15" x14ac:dyDescent="0.25">
      <c r="A371" s="782"/>
      <c r="B371" s="107" t="s">
        <v>44</v>
      </c>
      <c r="C371" s="107"/>
      <c r="D371" s="63">
        <v>110</v>
      </c>
      <c r="E371" s="63">
        <v>110</v>
      </c>
      <c r="F371" s="63">
        <v>3.08</v>
      </c>
      <c r="G371" s="63">
        <v>3.52</v>
      </c>
      <c r="H371" s="63">
        <v>5.17</v>
      </c>
      <c r="I371" s="63">
        <v>63.8</v>
      </c>
      <c r="J371" s="96">
        <v>1.43</v>
      </c>
      <c r="K371" s="126"/>
      <c r="L371" s="785"/>
      <c r="M371" s="64"/>
      <c r="N371" s="114">
        <v>43.22</v>
      </c>
      <c r="O371" s="68">
        <f>SUM(N371*D371)/1000</f>
        <v>4.7542</v>
      </c>
    </row>
    <row r="372" spans="1:15" x14ac:dyDescent="0.25">
      <c r="A372" s="782"/>
      <c r="B372" s="107" t="s">
        <v>49</v>
      </c>
      <c r="C372" s="107"/>
      <c r="D372" s="63">
        <v>10</v>
      </c>
      <c r="E372" s="63">
        <v>10</v>
      </c>
      <c r="F372" s="63">
        <v>0</v>
      </c>
      <c r="G372" s="63">
        <v>0</v>
      </c>
      <c r="H372" s="63">
        <v>9.98</v>
      </c>
      <c r="I372" s="63">
        <v>37.9</v>
      </c>
      <c r="J372" s="96">
        <v>0</v>
      </c>
      <c r="K372" s="126"/>
      <c r="L372" s="785"/>
      <c r="M372" s="64"/>
      <c r="N372" s="114">
        <v>50.7</v>
      </c>
      <c r="O372" s="68">
        <f>SUM(N372*D372)/1000</f>
        <v>0.50700000000000001</v>
      </c>
    </row>
    <row r="373" spans="1:15" x14ac:dyDescent="0.25">
      <c r="A373" s="782"/>
      <c r="B373" s="107" t="s">
        <v>19</v>
      </c>
      <c r="C373" s="107"/>
      <c r="D373" s="63">
        <v>80</v>
      </c>
      <c r="E373" s="63">
        <v>80</v>
      </c>
      <c r="F373" s="63">
        <v>0</v>
      </c>
      <c r="G373" s="63">
        <v>0</v>
      </c>
      <c r="H373" s="63">
        <v>0</v>
      </c>
      <c r="I373" s="63">
        <v>0</v>
      </c>
      <c r="J373" s="96">
        <v>0</v>
      </c>
      <c r="K373" s="126"/>
      <c r="L373" s="785"/>
      <c r="M373" s="64"/>
      <c r="N373" s="114">
        <v>0</v>
      </c>
      <c r="O373" s="68">
        <f>SUM(N373*D373)/1000</f>
        <v>0</v>
      </c>
    </row>
    <row r="374" spans="1:15" x14ac:dyDescent="0.25">
      <c r="A374" s="783"/>
      <c r="B374" s="157"/>
      <c r="C374" s="157"/>
      <c r="D374" s="51"/>
      <c r="E374" s="51"/>
      <c r="F374" s="267">
        <f>SUM(F370:F373)</f>
        <v>3.56</v>
      </c>
      <c r="G374" s="267">
        <f t="shared" ref="G374:J374" si="33">SUM(G370:G373)</f>
        <v>3.82</v>
      </c>
      <c r="H374" s="267">
        <f t="shared" si="33"/>
        <v>15.353999999999999</v>
      </c>
      <c r="I374" s="267">
        <f t="shared" si="33"/>
        <v>107.47999999999999</v>
      </c>
      <c r="J374" s="267">
        <f t="shared" si="33"/>
        <v>1.43</v>
      </c>
      <c r="K374" s="156"/>
      <c r="L374" s="785"/>
      <c r="M374" s="64"/>
      <c r="N374" s="65"/>
      <c r="O374" s="72">
        <f>SUM(O371:O373)</f>
        <v>5.2611999999999997</v>
      </c>
    </row>
    <row r="375" spans="1:15" hidden="1" x14ac:dyDescent="0.25">
      <c r="A375" s="787" t="s">
        <v>208</v>
      </c>
      <c r="B375" s="124"/>
      <c r="C375" s="124"/>
      <c r="D375" s="63"/>
      <c r="E375" s="63"/>
      <c r="F375" s="130"/>
      <c r="G375" s="130"/>
      <c r="H375" s="130"/>
      <c r="I375" s="130"/>
      <c r="J375" s="131"/>
      <c r="K375" s="162"/>
      <c r="L375" s="785"/>
      <c r="M375" s="64"/>
      <c r="N375" s="65"/>
      <c r="O375" s="67"/>
    </row>
    <row r="376" spans="1:15" x14ac:dyDescent="0.25">
      <c r="A376" s="788"/>
      <c r="B376" s="124" t="s">
        <v>206</v>
      </c>
      <c r="C376" s="124">
        <v>100</v>
      </c>
      <c r="D376" s="63">
        <v>100</v>
      </c>
      <c r="E376" s="63">
        <v>100</v>
      </c>
      <c r="F376" s="308">
        <v>1.5</v>
      </c>
      <c r="G376" s="308">
        <v>0.5</v>
      </c>
      <c r="H376" s="308">
        <v>21</v>
      </c>
      <c r="I376" s="308">
        <v>96</v>
      </c>
      <c r="J376" s="309">
        <v>10</v>
      </c>
      <c r="K376" s="162" t="s">
        <v>207</v>
      </c>
      <c r="L376" s="785"/>
      <c r="M376" s="64">
        <v>100</v>
      </c>
      <c r="N376" s="65">
        <v>55.58</v>
      </c>
      <c r="O376" s="69">
        <f>SUM(N376*D376)/1000</f>
        <v>5.5579999999999998</v>
      </c>
    </row>
    <row r="377" spans="1:15" x14ac:dyDescent="0.25">
      <c r="A377" s="789"/>
      <c r="B377" s="124" t="s">
        <v>57</v>
      </c>
      <c r="C377" s="124"/>
      <c r="D377" s="63"/>
      <c r="E377" s="13"/>
      <c r="F377" s="311">
        <f>SUM(F358,F368,F374:F376)</f>
        <v>13.154100000000001</v>
      </c>
      <c r="G377" s="311">
        <f t="shared" ref="G377:J377" si="34">SUM(G358,G368,G374:G376)</f>
        <v>15.811400000000001</v>
      </c>
      <c r="H377" s="311">
        <f t="shared" si="34"/>
        <v>90.898899999999998</v>
      </c>
      <c r="I377" s="311">
        <f t="shared" si="34"/>
        <v>557.00599999999997</v>
      </c>
      <c r="J377" s="311">
        <f t="shared" si="34"/>
        <v>12.6676</v>
      </c>
      <c r="K377" s="162"/>
      <c r="L377" s="786"/>
      <c r="M377" s="69">
        <f>SUM(M365:M376)</f>
        <v>320</v>
      </c>
      <c r="N377" s="65"/>
      <c r="O377" s="311" t="e">
        <f>SUM(#REF!,O368,O374:O376)</f>
        <v>#REF!</v>
      </c>
    </row>
    <row r="378" spans="1:15" x14ac:dyDescent="0.25">
      <c r="A378" s="456" t="s">
        <v>58</v>
      </c>
      <c r="B378" s="154"/>
      <c r="C378" s="165"/>
      <c r="D378" s="166"/>
      <c r="E378" s="167"/>
      <c r="F378" s="154"/>
      <c r="G378" s="154"/>
      <c r="H378" s="154"/>
      <c r="I378" s="154"/>
      <c r="J378" s="168"/>
      <c r="K378" s="125"/>
      <c r="L378" s="464"/>
      <c r="M378" s="64"/>
      <c r="N378" s="65"/>
      <c r="O378" s="64"/>
    </row>
    <row r="379" spans="1:15" ht="57.75" x14ac:dyDescent="0.25">
      <c r="A379" s="795"/>
      <c r="B379" s="351" t="s">
        <v>233</v>
      </c>
      <c r="C379" s="339">
        <v>200</v>
      </c>
      <c r="D379" s="352"/>
      <c r="E379" s="340"/>
      <c r="F379" s="341" t="s">
        <v>48</v>
      </c>
      <c r="G379" s="341" t="s">
        <v>48</v>
      </c>
      <c r="H379" s="341" t="s">
        <v>48</v>
      </c>
      <c r="I379" s="341" t="s">
        <v>48</v>
      </c>
      <c r="J379" s="341" t="s">
        <v>48</v>
      </c>
      <c r="K379" s="481" t="s">
        <v>157</v>
      </c>
      <c r="L379" s="784" t="s">
        <v>29</v>
      </c>
      <c r="M379" s="64">
        <v>200</v>
      </c>
      <c r="N379" s="65"/>
      <c r="O379" s="64"/>
    </row>
    <row r="380" spans="1:15" x14ac:dyDescent="0.25">
      <c r="A380" s="796"/>
      <c r="B380" s="353" t="s">
        <v>235</v>
      </c>
      <c r="C380" s="343"/>
      <c r="D380" s="340">
        <v>34</v>
      </c>
      <c r="E380" s="340">
        <v>27.3</v>
      </c>
      <c r="F380" s="340">
        <f>1.5*E380/100</f>
        <v>0.40950000000000003</v>
      </c>
      <c r="G380" s="340">
        <f>0.1*E380/100</f>
        <v>2.7300000000000005E-2</v>
      </c>
      <c r="H380" s="340">
        <f>8.8*E380/100</f>
        <v>2.4024000000000005</v>
      </c>
      <c r="I380" s="345">
        <f>42*E380/100</f>
        <v>11.466000000000001</v>
      </c>
      <c r="J380" s="346">
        <f>10*E380/100</f>
        <v>2.73</v>
      </c>
      <c r="K380" s="480"/>
      <c r="L380" s="785"/>
      <c r="M380" s="64"/>
      <c r="N380" s="114">
        <v>25.38</v>
      </c>
      <c r="O380" s="68">
        <f t="shared" ref="O380:O390" si="35">SUM(N380*D380)/1000</f>
        <v>0.86291999999999991</v>
      </c>
    </row>
    <row r="381" spans="1:15" ht="30" x14ac:dyDescent="0.25">
      <c r="A381" s="796"/>
      <c r="B381" s="353" t="s">
        <v>236</v>
      </c>
      <c r="C381" s="343"/>
      <c r="D381" s="340">
        <v>17.3</v>
      </c>
      <c r="E381" s="340">
        <v>14</v>
      </c>
      <c r="F381" s="340">
        <f>1.8*E381/100</f>
        <v>0.252</v>
      </c>
      <c r="G381" s="340">
        <f>0.1*E381/100</f>
        <v>1.4000000000000002E-2</v>
      </c>
      <c r="H381" s="340">
        <f>4.7*E381/100</f>
        <v>0.65799999999999992</v>
      </c>
      <c r="I381" s="345">
        <f>28*E381/100</f>
        <v>3.92</v>
      </c>
      <c r="J381" s="346">
        <f>45*E381/100</f>
        <v>6.3</v>
      </c>
      <c r="K381" s="480"/>
      <c r="L381" s="785"/>
      <c r="M381" s="64"/>
      <c r="N381" s="114">
        <v>21.89</v>
      </c>
      <c r="O381" s="68">
        <f t="shared" si="35"/>
        <v>0.37869700000000001</v>
      </c>
    </row>
    <row r="382" spans="1:15" x14ac:dyDescent="0.25">
      <c r="A382" s="796"/>
      <c r="B382" s="353" t="s">
        <v>237</v>
      </c>
      <c r="C382" s="343"/>
      <c r="D382" s="340">
        <v>31.3</v>
      </c>
      <c r="E382" s="340">
        <v>23.3</v>
      </c>
      <c r="F382" s="340">
        <f>2*E382/100</f>
        <v>0.46600000000000003</v>
      </c>
      <c r="G382" s="340">
        <f>0.4*E382/100</f>
        <v>9.3200000000000005E-2</v>
      </c>
      <c r="H382" s="340">
        <f>16.3*E382/100</f>
        <v>3.7979000000000003</v>
      </c>
      <c r="I382" s="345">
        <f>77*E382/100</f>
        <v>17.941000000000003</v>
      </c>
      <c r="J382" s="346">
        <f>20*E382/100</f>
        <v>4.66</v>
      </c>
      <c r="K382" s="480"/>
      <c r="L382" s="785"/>
      <c r="M382" s="64"/>
      <c r="N382" s="114">
        <v>21.98</v>
      </c>
      <c r="O382" s="68">
        <f t="shared" si="35"/>
        <v>0.68797400000000009</v>
      </c>
    </row>
    <row r="383" spans="1:15" x14ac:dyDescent="0.25">
      <c r="A383" s="796"/>
      <c r="B383" s="353" t="s">
        <v>238</v>
      </c>
      <c r="C383" s="343"/>
      <c r="D383" s="340">
        <v>13.3</v>
      </c>
      <c r="E383" s="340">
        <v>10</v>
      </c>
      <c r="F383" s="340">
        <f>1.3*E383/100</f>
        <v>0.13</v>
      </c>
      <c r="G383" s="340">
        <v>0</v>
      </c>
      <c r="H383" s="340">
        <f>6.9*E383/100</f>
        <v>0.69</v>
      </c>
      <c r="I383" s="345">
        <f>35*E383/100</f>
        <v>3.5</v>
      </c>
      <c r="J383" s="346">
        <f>5*E383/100</f>
        <v>0.5</v>
      </c>
      <c r="K383" s="480"/>
      <c r="L383" s="785"/>
      <c r="M383" s="64"/>
      <c r="N383" s="114">
        <v>38.5</v>
      </c>
      <c r="O383" s="68">
        <f t="shared" si="35"/>
        <v>0.51205000000000012</v>
      </c>
    </row>
    <row r="384" spans="1:15" x14ac:dyDescent="0.25">
      <c r="A384" s="796"/>
      <c r="B384" s="353" t="s">
        <v>239</v>
      </c>
      <c r="C384" s="354"/>
      <c r="D384" s="340">
        <v>10</v>
      </c>
      <c r="E384" s="340">
        <v>8</v>
      </c>
      <c r="F384" s="340">
        <f>1.4*E384/100</f>
        <v>0.11199999999999999</v>
      </c>
      <c r="G384" s="340">
        <v>0</v>
      </c>
      <c r="H384" s="340">
        <f>8.2*E384/100</f>
        <v>0.65599999999999992</v>
      </c>
      <c r="I384" s="345">
        <f>41*E384/100</f>
        <v>3.28</v>
      </c>
      <c r="J384" s="346">
        <f>10*E384/100</f>
        <v>0.8</v>
      </c>
      <c r="K384" s="480"/>
      <c r="L384" s="785"/>
      <c r="M384" s="64"/>
      <c r="N384" s="114">
        <v>120</v>
      </c>
      <c r="O384" s="68">
        <f t="shared" si="35"/>
        <v>1.2</v>
      </c>
    </row>
    <row r="385" spans="1:15" x14ac:dyDescent="0.25">
      <c r="A385" s="796"/>
      <c r="B385" s="353" t="s">
        <v>240</v>
      </c>
      <c r="C385" s="343"/>
      <c r="D385" s="340">
        <v>2.7</v>
      </c>
      <c r="E385" s="340">
        <v>2.7</v>
      </c>
      <c r="F385" s="340">
        <f>4.8*E385/100</f>
        <v>0.12960000000000002</v>
      </c>
      <c r="G385" s="340">
        <v>0</v>
      </c>
      <c r="H385" s="340">
        <f>19*E385/100</f>
        <v>0.51300000000000001</v>
      </c>
      <c r="I385" s="345">
        <f>102*E385/100</f>
        <v>2.7540000000000004</v>
      </c>
      <c r="J385" s="346">
        <f>45*E385/100</f>
        <v>1.2150000000000001</v>
      </c>
      <c r="K385" s="480"/>
      <c r="L385" s="785"/>
      <c r="M385" s="64"/>
      <c r="N385" s="114">
        <v>92.2</v>
      </c>
      <c r="O385" s="68">
        <f t="shared" si="35"/>
        <v>0.24894000000000002</v>
      </c>
    </row>
    <row r="386" spans="1:15" ht="30" x14ac:dyDescent="0.25">
      <c r="A386" s="796"/>
      <c r="B386" s="353" t="s">
        <v>241</v>
      </c>
      <c r="C386" s="343"/>
      <c r="D386" s="340">
        <v>4</v>
      </c>
      <c r="E386" s="340">
        <v>4</v>
      </c>
      <c r="F386" s="340">
        <v>0</v>
      </c>
      <c r="G386" s="340">
        <f>99.9*E386/100</f>
        <v>3.9960000000000004</v>
      </c>
      <c r="H386" s="355">
        <v>0</v>
      </c>
      <c r="I386" s="356">
        <f>899*E386/100</f>
        <v>35.96</v>
      </c>
      <c r="J386" s="346">
        <v>0</v>
      </c>
      <c r="K386" s="480"/>
      <c r="L386" s="785"/>
      <c r="M386" s="64"/>
      <c r="N386" s="114">
        <v>50.7</v>
      </c>
      <c r="O386" s="68">
        <f t="shared" si="35"/>
        <v>0.20280000000000001</v>
      </c>
    </row>
    <row r="387" spans="1:15" x14ac:dyDescent="0.25">
      <c r="A387" s="796"/>
      <c r="B387" s="353" t="s">
        <v>230</v>
      </c>
      <c r="C387" s="339"/>
      <c r="D387" s="340">
        <v>2</v>
      </c>
      <c r="E387" s="340">
        <v>2</v>
      </c>
      <c r="F387" s="340">
        <v>0</v>
      </c>
      <c r="G387" s="340">
        <v>0</v>
      </c>
      <c r="H387" s="340">
        <v>15</v>
      </c>
      <c r="I387" s="340">
        <v>56.9</v>
      </c>
      <c r="J387" s="346">
        <v>0</v>
      </c>
      <c r="K387" s="480"/>
      <c r="L387" s="785"/>
      <c r="M387" s="64"/>
      <c r="N387" s="114">
        <v>16.62</v>
      </c>
      <c r="O387" s="68">
        <f t="shared" si="35"/>
        <v>3.3239999999999999E-2</v>
      </c>
    </row>
    <row r="388" spans="1:15" x14ac:dyDescent="0.25">
      <c r="A388" s="796"/>
      <c r="B388" s="353" t="s">
        <v>231</v>
      </c>
      <c r="C388" s="354"/>
      <c r="D388" s="340">
        <v>1.2</v>
      </c>
      <c r="E388" s="340">
        <v>1.2</v>
      </c>
      <c r="F388" s="340">
        <v>0</v>
      </c>
      <c r="G388" s="340">
        <v>0</v>
      </c>
      <c r="H388" s="340">
        <v>0</v>
      </c>
      <c r="I388" s="345">
        <v>0</v>
      </c>
      <c r="J388" s="346">
        <v>0</v>
      </c>
      <c r="K388" s="480"/>
      <c r="L388" s="785"/>
      <c r="M388" s="64"/>
      <c r="N388" s="114">
        <v>550</v>
      </c>
      <c r="O388" s="68">
        <f t="shared" si="35"/>
        <v>0.66</v>
      </c>
    </row>
    <row r="389" spans="1:15" x14ac:dyDescent="0.25">
      <c r="A389" s="796"/>
      <c r="B389" s="353" t="s">
        <v>242</v>
      </c>
      <c r="C389" s="354"/>
      <c r="D389" s="340">
        <v>7.0000000000000001E-3</v>
      </c>
      <c r="E389" s="340">
        <v>7.0000000000000001E-3</v>
      </c>
      <c r="F389" s="340">
        <v>0</v>
      </c>
      <c r="G389" s="340">
        <v>0</v>
      </c>
      <c r="H389" s="340">
        <v>0</v>
      </c>
      <c r="I389" s="345">
        <v>0</v>
      </c>
      <c r="J389" s="346">
        <v>0</v>
      </c>
      <c r="K389" s="480"/>
      <c r="L389" s="785"/>
      <c r="M389" s="64"/>
      <c r="N389" s="114">
        <v>153</v>
      </c>
      <c r="O389" s="68">
        <f t="shared" si="35"/>
        <v>1.0709999999999999E-3</v>
      </c>
    </row>
    <row r="390" spans="1:15" x14ac:dyDescent="0.25">
      <c r="A390" s="796"/>
      <c r="B390" s="353" t="s">
        <v>243</v>
      </c>
      <c r="C390" s="354"/>
      <c r="D390" s="340">
        <v>160</v>
      </c>
      <c r="E390" s="340">
        <v>160</v>
      </c>
      <c r="F390" s="340">
        <v>0</v>
      </c>
      <c r="G390" s="340">
        <v>0</v>
      </c>
      <c r="H390" s="340">
        <v>0</v>
      </c>
      <c r="I390" s="345">
        <v>0</v>
      </c>
      <c r="J390" s="346">
        <v>0</v>
      </c>
      <c r="K390" s="480"/>
      <c r="L390" s="785"/>
      <c r="M390" s="64"/>
      <c r="N390" s="114">
        <v>0</v>
      </c>
      <c r="O390" s="68">
        <f t="shared" si="35"/>
        <v>0</v>
      </c>
    </row>
    <row r="391" spans="1:15" x14ac:dyDescent="0.25">
      <c r="A391" s="796"/>
      <c r="B391" s="353" t="s">
        <v>244</v>
      </c>
      <c r="C391" s="354"/>
      <c r="D391" s="352">
        <v>4</v>
      </c>
      <c r="E391" s="357">
        <v>4</v>
      </c>
      <c r="F391" s="340">
        <f>2.5*E391/100</f>
        <v>0.1</v>
      </c>
      <c r="G391" s="340">
        <f>15*E391/100</f>
        <v>0.6</v>
      </c>
      <c r="H391" s="340">
        <f>3.4*E391/100</f>
        <v>0.13600000000000001</v>
      </c>
      <c r="I391" s="345">
        <f>206*E391/100</f>
        <v>8.24</v>
      </c>
      <c r="J391" s="346">
        <f>0.3*E391/100</f>
        <v>1.2E-2</v>
      </c>
      <c r="K391" s="480"/>
      <c r="L391" s="785"/>
      <c r="M391" s="64"/>
      <c r="N391" s="114"/>
      <c r="O391" s="68"/>
    </row>
    <row r="392" spans="1:15" x14ac:dyDescent="0.25">
      <c r="A392" s="796"/>
      <c r="B392" s="117"/>
      <c r="C392" s="117"/>
      <c r="D392" s="100"/>
      <c r="E392" s="100"/>
      <c r="F392" s="118">
        <f>SUM(F380:F391)</f>
        <v>1.5991</v>
      </c>
      <c r="G392" s="118">
        <f t="shared" ref="G392:J392" si="36">SUM(G380:G391)</f>
        <v>4.7305000000000001</v>
      </c>
      <c r="H392" s="118">
        <f t="shared" si="36"/>
        <v>23.853300000000001</v>
      </c>
      <c r="I392" s="118">
        <f t="shared" si="36"/>
        <v>143.96100000000001</v>
      </c>
      <c r="J392" s="118">
        <f t="shared" si="36"/>
        <v>16.217000000000002</v>
      </c>
      <c r="K392" s="156"/>
      <c r="L392" s="785"/>
      <c r="M392" s="64"/>
      <c r="N392" s="47"/>
      <c r="O392" s="72">
        <f>SUM(O380:O390)</f>
        <v>4.7876919999999998</v>
      </c>
    </row>
    <row r="393" spans="1:15" x14ac:dyDescent="0.25">
      <c r="A393" s="796"/>
      <c r="B393" s="337" t="s">
        <v>167</v>
      </c>
      <c r="C393" s="124">
        <v>200</v>
      </c>
      <c r="D393" s="13"/>
      <c r="E393" s="13"/>
      <c r="F393" s="124"/>
      <c r="G393" s="107"/>
      <c r="H393" s="107"/>
      <c r="I393" s="107"/>
      <c r="J393" s="96"/>
      <c r="K393" s="125" t="s">
        <v>195</v>
      </c>
      <c r="L393" s="785"/>
      <c r="M393" s="64">
        <v>200</v>
      </c>
      <c r="N393" s="65"/>
      <c r="O393" s="64"/>
    </row>
    <row r="394" spans="1:15" x14ac:dyDescent="0.25">
      <c r="A394" s="796"/>
      <c r="B394" s="96" t="s">
        <v>274</v>
      </c>
      <c r="C394" s="96"/>
      <c r="D394" s="63">
        <v>153.6</v>
      </c>
      <c r="E394" s="63">
        <v>108.8</v>
      </c>
      <c r="F394" s="102">
        <v>16.829999999999998</v>
      </c>
      <c r="G394" s="63">
        <v>14.49</v>
      </c>
      <c r="H394" s="63">
        <v>0</v>
      </c>
      <c r="I394" s="63">
        <v>198</v>
      </c>
      <c r="J394" s="96">
        <v>1.8</v>
      </c>
      <c r="K394" s="126"/>
      <c r="L394" s="785"/>
      <c r="M394" s="64"/>
      <c r="N394" s="114">
        <v>136.62</v>
      </c>
      <c r="O394" s="68">
        <f t="shared" ref="O394:O400" si="37">SUM(N394*D394)/1000</f>
        <v>20.984831999999997</v>
      </c>
    </row>
    <row r="395" spans="1:15" x14ac:dyDescent="0.25">
      <c r="A395" s="796"/>
      <c r="B395" s="96" t="s">
        <v>37</v>
      </c>
      <c r="C395" s="96"/>
      <c r="D395" s="63">
        <v>8.4</v>
      </c>
      <c r="E395" s="63">
        <v>8.4</v>
      </c>
      <c r="F395" s="102">
        <v>6.4000000000000001E-2</v>
      </c>
      <c r="G395" s="63">
        <v>5.8</v>
      </c>
      <c r="H395" s="63">
        <v>0.104</v>
      </c>
      <c r="I395" s="63">
        <v>52.88</v>
      </c>
      <c r="J395" s="96">
        <v>0</v>
      </c>
      <c r="K395" s="126"/>
      <c r="L395" s="785"/>
      <c r="M395" s="64"/>
      <c r="N395" s="114">
        <v>376.98</v>
      </c>
      <c r="O395" s="68">
        <f t="shared" si="37"/>
        <v>3.1666319999999999</v>
      </c>
    </row>
    <row r="396" spans="1:15" x14ac:dyDescent="0.25">
      <c r="A396" s="796"/>
      <c r="B396" s="96" t="s">
        <v>32</v>
      </c>
      <c r="C396" s="96"/>
      <c r="D396" s="63">
        <v>9.6</v>
      </c>
      <c r="E396" s="63">
        <v>8.4</v>
      </c>
      <c r="F396" s="102">
        <v>0.126</v>
      </c>
      <c r="G396" s="63">
        <v>1.7999999999999999E-2</v>
      </c>
      <c r="H396" s="63">
        <v>0.73799999999999999</v>
      </c>
      <c r="I396" s="63">
        <v>3.69</v>
      </c>
      <c r="J396" s="96">
        <v>0.9</v>
      </c>
      <c r="K396" s="126"/>
      <c r="L396" s="785"/>
      <c r="M396" s="64"/>
      <c r="N396" s="114">
        <v>21.98</v>
      </c>
      <c r="O396" s="68">
        <f t="shared" si="37"/>
        <v>0.211008</v>
      </c>
    </row>
    <row r="397" spans="1:15" x14ac:dyDescent="0.25">
      <c r="A397" s="796"/>
      <c r="B397" s="96" t="s">
        <v>59</v>
      </c>
      <c r="C397" s="96"/>
      <c r="D397" s="63">
        <v>12</v>
      </c>
      <c r="E397" s="63">
        <v>9.6</v>
      </c>
      <c r="F397" s="102">
        <v>0.16900000000000001</v>
      </c>
      <c r="G397" s="63">
        <v>1.2999999999999999E-2</v>
      </c>
      <c r="H397" s="63">
        <v>0.89700000000000002</v>
      </c>
      <c r="I397" s="63">
        <v>4.55</v>
      </c>
      <c r="J397" s="96">
        <v>0.65</v>
      </c>
      <c r="K397" s="126"/>
      <c r="L397" s="785"/>
      <c r="M397" s="64"/>
      <c r="N397" s="114">
        <v>38.5</v>
      </c>
      <c r="O397" s="68">
        <f t="shared" si="37"/>
        <v>0.46200000000000002</v>
      </c>
    </row>
    <row r="398" spans="1:15" x14ac:dyDescent="0.25">
      <c r="A398" s="796"/>
      <c r="B398" s="96" t="s">
        <v>113</v>
      </c>
      <c r="C398" s="96"/>
      <c r="D398" s="63">
        <v>2.4</v>
      </c>
      <c r="E398" s="63">
        <v>2.4</v>
      </c>
      <c r="F398" s="102">
        <v>0.33600000000000002</v>
      </c>
      <c r="G398" s="63">
        <v>0</v>
      </c>
      <c r="H398" s="63">
        <v>1.33</v>
      </c>
      <c r="I398" s="63">
        <v>7.14</v>
      </c>
      <c r="J398" s="96">
        <v>3.15</v>
      </c>
      <c r="K398" s="126"/>
      <c r="L398" s="785"/>
      <c r="M398" s="64"/>
      <c r="N398" s="114">
        <v>120</v>
      </c>
      <c r="O398" s="68">
        <f t="shared" si="37"/>
        <v>0.28799999999999998</v>
      </c>
    </row>
    <row r="399" spans="1:15" x14ac:dyDescent="0.25">
      <c r="A399" s="796"/>
      <c r="B399" s="96" t="s">
        <v>18</v>
      </c>
      <c r="C399" s="96"/>
      <c r="D399" s="63">
        <v>42</v>
      </c>
      <c r="E399" s="63">
        <v>42</v>
      </c>
      <c r="F399" s="102">
        <v>3.22</v>
      </c>
      <c r="G399" s="63">
        <v>0.46</v>
      </c>
      <c r="H399" s="63">
        <v>32.844000000000001</v>
      </c>
      <c r="I399" s="63">
        <v>151.80000000000001</v>
      </c>
      <c r="J399" s="96">
        <v>0</v>
      </c>
      <c r="K399" s="126"/>
      <c r="L399" s="785"/>
      <c r="M399" s="64"/>
      <c r="N399" s="114">
        <v>55.45</v>
      </c>
      <c r="O399" s="68">
        <f t="shared" si="37"/>
        <v>2.3289</v>
      </c>
    </row>
    <row r="400" spans="1:15" x14ac:dyDescent="0.25">
      <c r="A400" s="796"/>
      <c r="B400" s="101" t="s">
        <v>112</v>
      </c>
      <c r="C400" s="101"/>
      <c r="D400" s="100">
        <v>2</v>
      </c>
      <c r="E400" s="100">
        <v>2</v>
      </c>
      <c r="F400" s="102">
        <v>0</v>
      </c>
      <c r="G400" s="63">
        <v>0</v>
      </c>
      <c r="H400" s="63">
        <v>0</v>
      </c>
      <c r="I400" s="63">
        <v>0</v>
      </c>
      <c r="J400" s="96">
        <v>0</v>
      </c>
      <c r="K400" s="126"/>
      <c r="L400" s="785"/>
      <c r="M400" s="64"/>
      <c r="N400" s="114">
        <v>16.62</v>
      </c>
      <c r="O400" s="68">
        <f t="shared" si="37"/>
        <v>3.3239999999999999E-2</v>
      </c>
    </row>
    <row r="401" spans="1:15" x14ac:dyDescent="0.25">
      <c r="A401" s="796"/>
      <c r="B401" s="117"/>
      <c r="C401" s="117"/>
      <c r="D401" s="100"/>
      <c r="E401" s="100"/>
      <c r="F401" s="118">
        <f>SUM(F394:F400)</f>
        <v>20.744999999999997</v>
      </c>
      <c r="G401" s="118">
        <f>SUM(G394:G400)</f>
        <v>20.781000000000002</v>
      </c>
      <c r="H401" s="118">
        <f>SUM(H394:H400)</f>
        <v>35.913000000000004</v>
      </c>
      <c r="I401" s="118">
        <f>SUM(I394:I400)</f>
        <v>418.06</v>
      </c>
      <c r="J401" s="118">
        <f>SUM(J394:J400)</f>
        <v>6.5</v>
      </c>
      <c r="K401" s="156"/>
      <c r="L401" s="785"/>
      <c r="M401" s="64"/>
      <c r="N401" s="65"/>
      <c r="O401" s="72">
        <f>SUM(O394:O400)</f>
        <v>27.474611999999997</v>
      </c>
    </row>
    <row r="402" spans="1:15" ht="30" x14ac:dyDescent="0.25">
      <c r="A402" s="796"/>
      <c r="B402" s="138" t="s">
        <v>180</v>
      </c>
      <c r="C402" s="124">
        <v>180</v>
      </c>
      <c r="D402" s="13"/>
      <c r="E402" s="13"/>
      <c r="F402" s="63"/>
      <c r="G402" s="63"/>
      <c r="H402" s="63"/>
      <c r="I402" s="63"/>
      <c r="J402" s="96"/>
      <c r="K402" s="108" t="s">
        <v>181</v>
      </c>
      <c r="L402" s="785"/>
      <c r="M402" s="64">
        <v>180</v>
      </c>
      <c r="N402" s="65"/>
      <c r="O402" s="64"/>
    </row>
    <row r="403" spans="1:15" ht="17.25" customHeight="1" x14ac:dyDescent="0.25">
      <c r="A403" s="796"/>
      <c r="B403" s="107" t="s">
        <v>182</v>
      </c>
      <c r="C403" s="107"/>
      <c r="D403" s="63">
        <v>18</v>
      </c>
      <c r="E403" s="63" t="s">
        <v>183</v>
      </c>
      <c r="F403" s="63">
        <v>0.93600000000000005</v>
      </c>
      <c r="G403" s="63">
        <v>5.3999999999999999E-2</v>
      </c>
      <c r="H403" s="63">
        <v>9.18</v>
      </c>
      <c r="I403" s="63">
        <v>41.76</v>
      </c>
      <c r="J403" s="96">
        <v>0.72</v>
      </c>
      <c r="K403" s="136"/>
      <c r="L403" s="785"/>
      <c r="M403" s="64"/>
      <c r="N403" s="114">
        <v>100</v>
      </c>
      <c r="O403" s="64">
        <f>SUM(N403*D403)/1000</f>
        <v>1.8</v>
      </c>
    </row>
    <row r="404" spans="1:15" x14ac:dyDescent="0.25">
      <c r="A404" s="796"/>
      <c r="B404" s="107" t="s">
        <v>38</v>
      </c>
      <c r="C404" s="107"/>
      <c r="D404" s="63">
        <v>14.4</v>
      </c>
      <c r="E404" s="63">
        <v>14.4</v>
      </c>
      <c r="F404" s="63">
        <v>0</v>
      </c>
      <c r="G404" s="63">
        <v>0</v>
      </c>
      <c r="H404" s="63">
        <v>14.371</v>
      </c>
      <c r="I404" s="63">
        <v>54.576000000000001</v>
      </c>
      <c r="J404" s="96">
        <v>0</v>
      </c>
      <c r="K404" s="136"/>
      <c r="L404" s="785"/>
      <c r="M404" s="64"/>
      <c r="N404" s="114">
        <v>50.7</v>
      </c>
      <c r="O404" s="64">
        <f>SUM(N404*D404)/1000</f>
        <v>0.73008000000000006</v>
      </c>
    </row>
    <row r="405" spans="1:15" x14ac:dyDescent="0.25">
      <c r="A405" s="796"/>
      <c r="B405" s="107" t="s">
        <v>19</v>
      </c>
      <c r="C405" s="107"/>
      <c r="D405" s="63">
        <v>182.7</v>
      </c>
      <c r="E405" s="63">
        <v>182.7</v>
      </c>
      <c r="F405" s="63">
        <v>0</v>
      </c>
      <c r="G405" s="63">
        <v>0</v>
      </c>
      <c r="H405" s="63">
        <v>0</v>
      </c>
      <c r="I405" s="63">
        <v>0</v>
      </c>
      <c r="J405" s="96">
        <v>0</v>
      </c>
      <c r="K405" s="136"/>
      <c r="L405" s="785"/>
      <c r="M405" s="64"/>
      <c r="N405" s="114">
        <v>0</v>
      </c>
      <c r="O405" s="64">
        <f>SUM(N405*D405)/1000</f>
        <v>0</v>
      </c>
    </row>
    <row r="406" spans="1:15" x14ac:dyDescent="0.25">
      <c r="A406" s="796"/>
      <c r="B406" s="107"/>
      <c r="C406" s="107"/>
      <c r="D406" s="63"/>
      <c r="E406" s="63"/>
      <c r="F406" s="118">
        <f>SUM(F403:F405)</f>
        <v>0.93600000000000005</v>
      </c>
      <c r="G406" s="118">
        <f>SUM(G403:G405)</f>
        <v>5.3999999999999999E-2</v>
      </c>
      <c r="H406" s="118">
        <f>SUM(H403:H405)</f>
        <v>23.551000000000002</v>
      </c>
      <c r="I406" s="118">
        <f>SUM(I403:I405)</f>
        <v>96.335999999999999</v>
      </c>
      <c r="J406" s="118">
        <f>SUM(J403:J405)</f>
        <v>0.72</v>
      </c>
      <c r="K406" s="153"/>
      <c r="L406" s="785"/>
      <c r="M406" s="64"/>
      <c r="N406" s="47"/>
      <c r="O406" s="72">
        <f>SUM(O403:O405)</f>
        <v>2.5300799999999999</v>
      </c>
    </row>
    <row r="407" spans="1:15" x14ac:dyDescent="0.25">
      <c r="A407" s="796"/>
      <c r="B407" s="291" t="s">
        <v>40</v>
      </c>
      <c r="C407" s="124">
        <v>70</v>
      </c>
      <c r="D407" s="63">
        <v>70</v>
      </c>
      <c r="E407" s="63">
        <v>70</v>
      </c>
      <c r="F407" s="118">
        <v>3.85</v>
      </c>
      <c r="G407" s="118">
        <v>1.5</v>
      </c>
      <c r="H407" s="118">
        <v>24.9</v>
      </c>
      <c r="I407" s="118">
        <v>131</v>
      </c>
      <c r="J407" s="139">
        <v>0</v>
      </c>
      <c r="K407" s="153" t="s">
        <v>73</v>
      </c>
      <c r="L407" s="785"/>
      <c r="M407" s="64">
        <v>40</v>
      </c>
      <c r="N407" s="114">
        <v>35</v>
      </c>
      <c r="O407" s="72">
        <f>SUM(N407*D407)/1000</f>
        <v>2.4500000000000002</v>
      </c>
    </row>
    <row r="408" spans="1:15" x14ac:dyDescent="0.25">
      <c r="A408" s="797"/>
      <c r="B408" s="124" t="s">
        <v>74</v>
      </c>
      <c r="C408" s="124"/>
      <c r="D408" s="180"/>
      <c r="E408" s="180"/>
      <c r="F408" s="265">
        <f>SUM(F392,F401,F406:F407)</f>
        <v>27.130099999999999</v>
      </c>
      <c r="G408" s="265">
        <f>SUM(G392,G401,G406:G407)</f>
        <v>27.0655</v>
      </c>
      <c r="H408" s="265">
        <f>SUM(H392,H401,H406:H407)</f>
        <v>108.21729999999999</v>
      </c>
      <c r="I408" s="265">
        <f>SUM(I392,I401,I406:I407)</f>
        <v>789.35699999999997</v>
      </c>
      <c r="J408" s="265">
        <f>SUM(J392,J401,J406:J407)</f>
        <v>23.437000000000001</v>
      </c>
      <c r="K408" s="158"/>
      <c r="L408" s="786"/>
      <c r="M408" s="69">
        <f>SUM(M379:M407)</f>
        <v>620</v>
      </c>
      <c r="N408" s="65"/>
      <c r="O408" s="265">
        <f>SUM(O392,O401,O406:O407)</f>
        <v>37.242384000000001</v>
      </c>
    </row>
    <row r="409" spans="1:15" x14ac:dyDescent="0.25">
      <c r="A409" s="456" t="s">
        <v>75</v>
      </c>
      <c r="B409" s="13"/>
      <c r="C409" s="4"/>
      <c r="D409" s="105"/>
      <c r="E409" s="106"/>
      <c r="F409" s="51"/>
      <c r="G409" s="51"/>
      <c r="H409" s="51"/>
      <c r="I409" s="51"/>
      <c r="J409" s="53"/>
      <c r="K409" s="125"/>
      <c r="L409" s="464"/>
      <c r="M409" s="64"/>
      <c r="N409" s="65"/>
      <c r="O409" s="64"/>
    </row>
    <row r="410" spans="1:15" x14ac:dyDescent="0.25">
      <c r="A410" s="457"/>
      <c r="B410" s="442" t="s">
        <v>337</v>
      </c>
      <c r="C410" s="124">
        <v>40</v>
      </c>
      <c r="D410" s="63">
        <v>4</v>
      </c>
      <c r="E410" s="63" t="s">
        <v>339</v>
      </c>
      <c r="F410" s="289">
        <v>5.5880000000000001</v>
      </c>
      <c r="G410" s="289">
        <v>5.0599999999999996</v>
      </c>
      <c r="H410" s="289">
        <v>0.308</v>
      </c>
      <c r="I410" s="289">
        <v>69.08</v>
      </c>
      <c r="J410" s="498">
        <v>0</v>
      </c>
      <c r="K410" s="125"/>
      <c r="L410" s="465"/>
      <c r="M410" s="64">
        <v>85</v>
      </c>
      <c r="N410" s="65"/>
      <c r="O410" s="64"/>
    </row>
    <row r="411" spans="1:15" x14ac:dyDescent="0.25">
      <c r="A411" s="457"/>
      <c r="B411" s="428" t="s">
        <v>340</v>
      </c>
      <c r="C411" s="96">
        <v>80</v>
      </c>
      <c r="D411" s="63">
        <v>80</v>
      </c>
      <c r="E411" s="63">
        <v>80</v>
      </c>
      <c r="F411" s="289">
        <v>1.9</v>
      </c>
      <c r="G411" s="289">
        <v>8.9</v>
      </c>
      <c r="H411" s="289">
        <v>7.7</v>
      </c>
      <c r="I411" s="289">
        <v>119</v>
      </c>
      <c r="J411" s="498">
        <v>7.0000000000000007E-2</v>
      </c>
      <c r="K411" s="126" t="s">
        <v>73</v>
      </c>
      <c r="L411" s="465"/>
      <c r="M411" s="64"/>
      <c r="N411" s="114">
        <v>4.6989999999999998</v>
      </c>
      <c r="O411" s="68">
        <f>SUM(N411*D411)/40</f>
        <v>9.3979999999999997</v>
      </c>
    </row>
    <row r="412" spans="1:15" x14ac:dyDescent="0.25">
      <c r="A412" s="782"/>
      <c r="B412" s="321" t="s">
        <v>40</v>
      </c>
      <c r="C412" s="124">
        <v>20</v>
      </c>
      <c r="D412" s="63">
        <v>20</v>
      </c>
      <c r="E412" s="63">
        <v>20</v>
      </c>
      <c r="F412" s="118">
        <v>2.31</v>
      </c>
      <c r="G412" s="118">
        <v>0.9</v>
      </c>
      <c r="H412" s="118">
        <v>14.94</v>
      </c>
      <c r="I412" s="118">
        <v>78.599999999999994</v>
      </c>
      <c r="J412" s="119">
        <v>0</v>
      </c>
      <c r="K412" s="153" t="s">
        <v>73</v>
      </c>
      <c r="L412" s="785"/>
      <c r="M412" s="64">
        <v>20</v>
      </c>
      <c r="N412" s="65">
        <v>35</v>
      </c>
      <c r="O412" s="72">
        <f>SUM(N412*D412)/1000</f>
        <v>0.7</v>
      </c>
    </row>
    <row r="413" spans="1:15" x14ac:dyDescent="0.25">
      <c r="A413" s="782"/>
      <c r="B413" s="333" t="s">
        <v>72</v>
      </c>
      <c r="C413" s="105" t="s">
        <v>187</v>
      </c>
      <c r="D413" s="13"/>
      <c r="E413" s="13"/>
      <c r="F413" s="13"/>
      <c r="G413" s="13"/>
      <c r="H413" s="13"/>
      <c r="I413" s="13"/>
      <c r="J413" s="96"/>
      <c r="K413" s="125" t="s">
        <v>188</v>
      </c>
      <c r="L413" s="785"/>
      <c r="M413" s="64">
        <v>190</v>
      </c>
      <c r="N413" s="65"/>
      <c r="O413" s="68"/>
    </row>
    <row r="414" spans="1:15" x14ac:dyDescent="0.25">
      <c r="A414" s="782"/>
      <c r="B414" s="333" t="s">
        <v>184</v>
      </c>
      <c r="C414" s="124"/>
      <c r="D414" s="13">
        <v>30</v>
      </c>
      <c r="E414" s="13">
        <v>30</v>
      </c>
      <c r="F414" s="13"/>
      <c r="G414" s="13"/>
      <c r="H414" s="13"/>
      <c r="I414" s="13"/>
      <c r="J414" s="96"/>
      <c r="K414" s="125"/>
      <c r="L414" s="785"/>
      <c r="M414" s="64"/>
      <c r="N414" s="65"/>
      <c r="O414" s="68"/>
    </row>
    <row r="415" spans="1:15" x14ac:dyDescent="0.25">
      <c r="A415" s="782"/>
      <c r="B415" s="107" t="s">
        <v>120</v>
      </c>
      <c r="C415" s="124"/>
      <c r="D415" s="63">
        <v>32.4</v>
      </c>
      <c r="E415" s="63">
        <v>32.4</v>
      </c>
      <c r="F415" s="63">
        <v>0</v>
      </c>
      <c r="G415" s="63">
        <v>0</v>
      </c>
      <c r="H415" s="63">
        <v>0</v>
      </c>
      <c r="I415" s="63">
        <v>0</v>
      </c>
      <c r="J415" s="96">
        <v>0</v>
      </c>
      <c r="K415" s="125"/>
      <c r="L415" s="785"/>
      <c r="M415" s="64"/>
      <c r="N415" s="65"/>
      <c r="O415" s="68"/>
    </row>
    <row r="416" spans="1:15" x14ac:dyDescent="0.25">
      <c r="A416" s="782"/>
      <c r="B416" s="107" t="s">
        <v>185</v>
      </c>
      <c r="C416" s="107"/>
      <c r="D416" s="63">
        <v>0.3</v>
      </c>
      <c r="E416" s="63">
        <v>0.3</v>
      </c>
      <c r="F416" s="63">
        <v>0.06</v>
      </c>
      <c r="G416" s="63">
        <v>0</v>
      </c>
      <c r="H416" s="63">
        <v>2.07E-2</v>
      </c>
      <c r="I416" s="63">
        <v>0.45540000000000003</v>
      </c>
      <c r="J416" s="96">
        <v>0.03</v>
      </c>
      <c r="K416" s="126"/>
      <c r="L416" s="785"/>
      <c r="M416" s="64"/>
      <c r="N416" s="114">
        <v>400</v>
      </c>
      <c r="O416" s="68">
        <f>SUM(N416*D416)/1000</f>
        <v>0.12</v>
      </c>
    </row>
    <row r="417" spans="1:15" x14ac:dyDescent="0.25">
      <c r="A417" s="782"/>
      <c r="B417" s="107" t="s">
        <v>49</v>
      </c>
      <c r="C417" s="107"/>
      <c r="D417" s="63">
        <v>10</v>
      </c>
      <c r="E417" s="63">
        <v>10</v>
      </c>
      <c r="F417" s="63">
        <v>0</v>
      </c>
      <c r="G417" s="63">
        <v>0</v>
      </c>
      <c r="H417" s="63">
        <v>9.98</v>
      </c>
      <c r="I417" s="63">
        <v>37.9</v>
      </c>
      <c r="J417" s="96">
        <v>0</v>
      </c>
      <c r="K417" s="126"/>
      <c r="L417" s="785"/>
      <c r="M417" s="64"/>
      <c r="N417" s="114">
        <v>50.7</v>
      </c>
      <c r="O417" s="68">
        <f>SUM(N417*D417)/1000</f>
        <v>0.50700000000000001</v>
      </c>
    </row>
    <row r="418" spans="1:15" x14ac:dyDescent="0.25">
      <c r="A418" s="782"/>
      <c r="B418" s="107" t="s">
        <v>19</v>
      </c>
      <c r="C418" s="107"/>
      <c r="D418" s="63">
        <v>150</v>
      </c>
      <c r="E418" s="63">
        <v>150</v>
      </c>
      <c r="F418" s="63">
        <v>0</v>
      </c>
      <c r="G418" s="63">
        <v>0</v>
      </c>
      <c r="H418" s="63">
        <v>0</v>
      </c>
      <c r="I418" s="63">
        <v>0</v>
      </c>
      <c r="J418" s="96">
        <v>0</v>
      </c>
      <c r="K418" s="126"/>
      <c r="L418" s="785"/>
      <c r="M418" s="64"/>
      <c r="N418" s="114">
        <v>0</v>
      </c>
      <c r="O418" s="68">
        <f>SUM(N418*D418)/1000</f>
        <v>0</v>
      </c>
    </row>
    <row r="419" spans="1:15" x14ac:dyDescent="0.25">
      <c r="A419" s="782"/>
      <c r="B419" s="107"/>
      <c r="C419" s="107"/>
      <c r="D419" s="63"/>
      <c r="E419" s="63"/>
      <c r="F419" s="118">
        <f>SUM(F414:F418)</f>
        <v>0.06</v>
      </c>
      <c r="G419" s="118">
        <f>SUM(G414:G418)</f>
        <v>0</v>
      </c>
      <c r="H419" s="118">
        <f>SUM(H414:H418)</f>
        <v>10.0007</v>
      </c>
      <c r="I419" s="118">
        <f>SUM(I414:I418)</f>
        <v>38.355399999999996</v>
      </c>
      <c r="J419" s="118">
        <f>SUM(J414:J418)</f>
        <v>0.03</v>
      </c>
      <c r="K419" s="153"/>
      <c r="L419" s="785"/>
      <c r="M419" s="64"/>
      <c r="N419" s="65"/>
      <c r="O419" s="72">
        <f>SUM(O414:O418)</f>
        <v>0.627</v>
      </c>
    </row>
    <row r="420" spans="1:15" x14ac:dyDescent="0.25">
      <c r="A420" s="783"/>
      <c r="B420" s="124" t="s">
        <v>46</v>
      </c>
      <c r="C420" s="124"/>
      <c r="D420" s="13"/>
      <c r="E420" s="13"/>
      <c r="F420" s="142">
        <f>SUM(F412:F412,F419,F410,F411)</f>
        <v>9.8580000000000005</v>
      </c>
      <c r="G420" s="142">
        <f t="shared" ref="G420:J420" si="38">SUM(G412:G412,G419,G410,G411)</f>
        <v>14.86</v>
      </c>
      <c r="H420" s="142">
        <f t="shared" si="38"/>
        <v>32.948700000000002</v>
      </c>
      <c r="I420" s="142">
        <f t="shared" si="38"/>
        <v>305.03539999999998</v>
      </c>
      <c r="J420" s="142">
        <f t="shared" si="38"/>
        <v>0.1</v>
      </c>
      <c r="K420" s="158"/>
      <c r="L420" s="786"/>
      <c r="M420" s="69">
        <f>SUM(M412:M413)</f>
        <v>210</v>
      </c>
      <c r="N420" s="65"/>
      <c r="O420" s="71">
        <f>SUM(O412:O412,O419)</f>
        <v>1.327</v>
      </c>
    </row>
    <row r="421" spans="1:15" ht="25.5" x14ac:dyDescent="0.25">
      <c r="A421" s="10" t="s">
        <v>131</v>
      </c>
      <c r="B421" s="22"/>
      <c r="C421" s="22"/>
      <c r="D421" s="29"/>
      <c r="E421" s="29"/>
      <c r="F421" s="320">
        <f>SUM(F377,F408,F420)</f>
        <v>50.142200000000003</v>
      </c>
      <c r="G421" s="320">
        <f>SUM(G377,G408,G420)</f>
        <v>57.736899999999999</v>
      </c>
      <c r="H421" s="320">
        <f>SUM(H377,H408,H420)</f>
        <v>232.06489999999999</v>
      </c>
      <c r="I421" s="320">
        <f>SUM(I377,I408,I420)</f>
        <v>1651.3983999999998</v>
      </c>
      <c r="J421" s="320">
        <f>SUM(J377,J408,J420)</f>
        <v>36.204600000000006</v>
      </c>
      <c r="K421" s="24"/>
      <c r="L421" s="470"/>
      <c r="M421" s="90"/>
      <c r="N421" s="91"/>
      <c r="O421" s="142">
        <f>SUM(O413:O413,O420,O411,O412)</f>
        <v>11.424999999999999</v>
      </c>
    </row>
    <row r="422" spans="1:15" x14ac:dyDescent="0.25">
      <c r="A422" s="13" t="s">
        <v>132</v>
      </c>
      <c r="B422" s="13"/>
      <c r="C422" s="13"/>
      <c r="D422" s="52"/>
      <c r="E422" s="52"/>
      <c r="F422" s="51"/>
      <c r="G422" s="51"/>
      <c r="H422" s="51"/>
      <c r="I422" s="51"/>
      <c r="J422" s="53"/>
      <c r="K422" s="125"/>
      <c r="L422" s="464"/>
      <c r="M422" s="64"/>
      <c r="N422" s="65"/>
      <c r="O422" s="64"/>
    </row>
    <row r="423" spans="1:15" x14ac:dyDescent="0.25">
      <c r="A423" s="456" t="s">
        <v>119</v>
      </c>
      <c r="B423" s="13"/>
      <c r="C423" s="4"/>
      <c r="D423" s="105"/>
      <c r="E423" s="106"/>
      <c r="F423" s="52"/>
      <c r="G423" s="52"/>
      <c r="H423" s="52"/>
      <c r="I423" s="52"/>
      <c r="J423" s="224"/>
      <c r="K423" s="153"/>
      <c r="L423" s="464"/>
      <c r="M423" s="64"/>
      <c r="N423" s="65"/>
      <c r="O423" s="64"/>
    </row>
    <row r="424" spans="1:15" ht="45" x14ac:dyDescent="0.25">
      <c r="A424" s="457"/>
      <c r="B424" s="442" t="s">
        <v>193</v>
      </c>
      <c r="C424" s="124">
        <v>180</v>
      </c>
      <c r="D424" s="13"/>
      <c r="E424" s="13"/>
      <c r="F424" s="63"/>
      <c r="G424" s="63"/>
      <c r="H424" s="63"/>
      <c r="I424" s="63"/>
      <c r="J424" s="96"/>
      <c r="K424" s="125" t="s">
        <v>194</v>
      </c>
      <c r="L424" s="465"/>
      <c r="M424" s="64">
        <v>150</v>
      </c>
      <c r="N424" s="65"/>
      <c r="O424" s="64"/>
    </row>
    <row r="425" spans="1:15" x14ac:dyDescent="0.25">
      <c r="A425" s="457"/>
      <c r="B425" s="173" t="s">
        <v>44</v>
      </c>
      <c r="C425" s="63"/>
      <c r="D425" s="63">
        <v>126</v>
      </c>
      <c r="E425" s="161">
        <v>126</v>
      </c>
      <c r="F425" s="323">
        <v>3.528</v>
      </c>
      <c r="G425" s="63">
        <v>4.032</v>
      </c>
      <c r="H425" s="63">
        <v>5.9219999999999997</v>
      </c>
      <c r="I425" s="161">
        <v>73.08</v>
      </c>
      <c r="J425" s="96">
        <v>1.6379999999999999</v>
      </c>
      <c r="K425" s="126"/>
      <c r="L425" s="465"/>
      <c r="M425" s="64"/>
      <c r="N425" s="114">
        <v>21.89</v>
      </c>
      <c r="O425" s="68">
        <f t="shared" ref="O425:O430" si="39">SUM(N425*D425)/1000</f>
        <v>2.75814</v>
      </c>
    </row>
    <row r="426" spans="1:15" x14ac:dyDescent="0.25">
      <c r="A426" s="457"/>
      <c r="B426" s="173" t="s">
        <v>120</v>
      </c>
      <c r="C426" s="63"/>
      <c r="D426" s="63">
        <v>54</v>
      </c>
      <c r="E426" s="63">
        <v>54</v>
      </c>
      <c r="F426" s="323">
        <v>0</v>
      </c>
      <c r="G426" s="63">
        <v>0</v>
      </c>
      <c r="H426" s="63">
        <v>0</v>
      </c>
      <c r="I426" s="63">
        <v>0</v>
      </c>
      <c r="J426" s="96">
        <v>0</v>
      </c>
      <c r="K426" s="126"/>
      <c r="L426" s="465"/>
      <c r="M426" s="64"/>
      <c r="N426" s="114">
        <v>38.5</v>
      </c>
      <c r="O426" s="68">
        <f t="shared" si="39"/>
        <v>2.0790000000000002</v>
      </c>
    </row>
    <row r="427" spans="1:15" ht="30" x14ac:dyDescent="0.25">
      <c r="A427" s="457"/>
      <c r="B427" s="173" t="s">
        <v>214</v>
      </c>
      <c r="C427" s="63"/>
      <c r="D427" s="63">
        <v>14.4</v>
      </c>
      <c r="E427" s="63">
        <v>14.4</v>
      </c>
      <c r="F427" s="323">
        <v>1.4970000000000001</v>
      </c>
      <c r="G427" s="63">
        <v>0.158</v>
      </c>
      <c r="H427" s="63">
        <v>10.036</v>
      </c>
      <c r="I427" s="63">
        <v>48.527999999999999</v>
      </c>
      <c r="J427" s="96">
        <v>0</v>
      </c>
      <c r="K427" s="126"/>
      <c r="L427" s="465"/>
      <c r="M427" s="64"/>
      <c r="N427" s="114">
        <v>21.98</v>
      </c>
      <c r="O427" s="68">
        <f t="shared" si="39"/>
        <v>0.31651200000000002</v>
      </c>
    </row>
    <row r="428" spans="1:15" x14ac:dyDescent="0.25">
      <c r="A428" s="457"/>
      <c r="B428" s="173" t="s">
        <v>20</v>
      </c>
      <c r="C428" s="63"/>
      <c r="D428" s="63">
        <v>1.44</v>
      </c>
      <c r="E428" s="63">
        <v>1.44</v>
      </c>
      <c r="F428" s="323">
        <v>0</v>
      </c>
      <c r="G428" s="63">
        <v>0</v>
      </c>
      <c r="H428" s="63">
        <v>1.4370000000000001</v>
      </c>
      <c r="I428" s="63">
        <v>5.306</v>
      </c>
      <c r="J428" s="96">
        <v>0</v>
      </c>
      <c r="K428" s="126"/>
      <c r="L428" s="465"/>
      <c r="M428" s="64"/>
      <c r="N428" s="114">
        <v>92.2</v>
      </c>
      <c r="O428" s="68">
        <f t="shared" si="39"/>
        <v>0.132768</v>
      </c>
    </row>
    <row r="429" spans="1:15" x14ac:dyDescent="0.25">
      <c r="A429" s="457"/>
      <c r="B429" s="173" t="s">
        <v>112</v>
      </c>
      <c r="C429" s="63"/>
      <c r="D429" s="63">
        <v>0.27</v>
      </c>
      <c r="E429" s="63">
        <v>0.27</v>
      </c>
      <c r="F429" s="323">
        <v>0</v>
      </c>
      <c r="G429" s="63">
        <v>0</v>
      </c>
      <c r="H429" s="63">
        <v>0</v>
      </c>
      <c r="I429" s="63">
        <v>0</v>
      </c>
      <c r="J429" s="96">
        <v>0</v>
      </c>
      <c r="K429" s="126"/>
      <c r="L429" s="465"/>
      <c r="M429" s="64"/>
      <c r="N429" s="114">
        <v>550</v>
      </c>
      <c r="O429" s="68">
        <f t="shared" si="39"/>
        <v>0.14849999999999999</v>
      </c>
    </row>
    <row r="430" spans="1:15" x14ac:dyDescent="0.25">
      <c r="A430" s="457"/>
      <c r="B430" s="173" t="s">
        <v>21</v>
      </c>
      <c r="C430" s="63"/>
      <c r="D430" s="63">
        <v>1.8</v>
      </c>
      <c r="E430" s="63">
        <v>1.8</v>
      </c>
      <c r="F430" s="323">
        <v>1.44E-2</v>
      </c>
      <c r="G430" s="194">
        <v>1.3049999999999999</v>
      </c>
      <c r="H430" s="63">
        <v>2.3400000000000001E-2</v>
      </c>
      <c r="I430" s="63">
        <v>11.898</v>
      </c>
      <c r="J430" s="97">
        <v>0</v>
      </c>
      <c r="K430" s="126"/>
      <c r="L430" s="465"/>
      <c r="M430" s="64"/>
      <c r="N430" s="114">
        <v>16.62</v>
      </c>
      <c r="O430" s="68">
        <f t="shared" si="39"/>
        <v>2.9916000000000005E-2</v>
      </c>
    </row>
    <row r="431" spans="1:15" ht="18" customHeight="1" x14ac:dyDescent="0.25">
      <c r="A431" s="457"/>
      <c r="B431" s="107"/>
      <c r="C431" s="63"/>
      <c r="D431" s="63"/>
      <c r="E431" s="63"/>
      <c r="F431" s="324">
        <f>SUM(F425:F430)</f>
        <v>5.0394000000000005</v>
      </c>
      <c r="G431" s="118">
        <f>SUM(G425:G430)</f>
        <v>5.4950000000000001</v>
      </c>
      <c r="H431" s="118">
        <f>SUM(H425:H430)</f>
        <v>17.418399999999998</v>
      </c>
      <c r="I431" s="118">
        <f>SUM(I425:I430)</f>
        <v>138.81200000000001</v>
      </c>
      <c r="J431" s="119">
        <f>SUM(J425:J430)</f>
        <v>1.6379999999999999</v>
      </c>
      <c r="K431" s="156"/>
      <c r="L431" s="465"/>
      <c r="M431" s="64">
        <v>0</v>
      </c>
      <c r="N431" s="114"/>
      <c r="O431" s="68"/>
    </row>
    <row r="432" spans="1:15" x14ac:dyDescent="0.25">
      <c r="A432" s="782"/>
      <c r="B432" s="435" t="s">
        <v>23</v>
      </c>
      <c r="C432" s="122">
        <v>40</v>
      </c>
      <c r="D432" s="13"/>
      <c r="E432" s="123"/>
      <c r="F432" s="110"/>
      <c r="G432" s="110"/>
      <c r="H432" s="110"/>
      <c r="I432" s="110"/>
      <c r="J432" s="97"/>
      <c r="K432" s="112" t="s">
        <v>24</v>
      </c>
      <c r="L432" s="465"/>
      <c r="M432" s="65">
        <v>40</v>
      </c>
      <c r="N432" s="65"/>
      <c r="O432" s="64"/>
    </row>
    <row r="433" spans="1:15" x14ac:dyDescent="0.25">
      <c r="A433" s="782"/>
      <c r="B433" s="107" t="s">
        <v>21</v>
      </c>
      <c r="C433" s="194"/>
      <c r="D433" s="63">
        <v>10</v>
      </c>
      <c r="E433" s="63">
        <v>10</v>
      </c>
      <c r="F433" s="63">
        <v>0.08</v>
      </c>
      <c r="G433" s="63">
        <v>7.25</v>
      </c>
      <c r="H433" s="63">
        <v>0.13</v>
      </c>
      <c r="I433" s="63">
        <v>66.099999999999994</v>
      </c>
      <c r="J433" s="231">
        <v>0</v>
      </c>
      <c r="K433" s="112"/>
      <c r="L433" s="465"/>
      <c r="M433" s="65"/>
      <c r="N433" s="65">
        <v>376.98</v>
      </c>
      <c r="O433" s="68">
        <f>SUM(N433*D433)/1000</f>
        <v>3.7698</v>
      </c>
    </row>
    <row r="434" spans="1:15" x14ac:dyDescent="0.25">
      <c r="A434" s="782"/>
      <c r="B434" s="107" t="s">
        <v>25</v>
      </c>
      <c r="C434" s="194"/>
      <c r="D434" s="63">
        <v>30</v>
      </c>
      <c r="E434" s="63">
        <v>30</v>
      </c>
      <c r="F434" s="63">
        <v>2.31</v>
      </c>
      <c r="G434" s="63">
        <v>0.9</v>
      </c>
      <c r="H434" s="63">
        <v>14.94</v>
      </c>
      <c r="I434" s="63">
        <v>78.599999999999994</v>
      </c>
      <c r="J434" s="231">
        <v>0</v>
      </c>
      <c r="K434" s="112"/>
      <c r="L434" s="465"/>
      <c r="M434" s="65"/>
      <c r="N434" s="65">
        <v>50</v>
      </c>
      <c r="O434" s="68">
        <f>SUM(N434*D434)/1000</f>
        <v>1.5</v>
      </c>
    </row>
    <row r="435" spans="1:15" x14ac:dyDescent="0.25">
      <c r="A435" s="782"/>
      <c r="B435" s="107"/>
      <c r="C435" s="107"/>
      <c r="D435" s="63"/>
      <c r="E435" s="63"/>
      <c r="F435" s="118">
        <f>SUM(F433:F434)</f>
        <v>2.39</v>
      </c>
      <c r="G435" s="118">
        <f>SUM(G433:G434)</f>
        <v>8.15</v>
      </c>
      <c r="H435" s="118">
        <f>SUM(H433:H434)</f>
        <v>15.07</v>
      </c>
      <c r="I435" s="118">
        <f>SUM(I433:I434)</f>
        <v>144.69999999999999</v>
      </c>
      <c r="J435" s="119">
        <f>SUM(J433:J434)</f>
        <v>0</v>
      </c>
      <c r="K435" s="156"/>
      <c r="L435" s="465"/>
      <c r="M435" s="65"/>
      <c r="N435" s="65"/>
      <c r="O435" s="72">
        <f>SUM(O433:O434)</f>
        <v>5.2698</v>
      </c>
    </row>
    <row r="436" spans="1:15" x14ac:dyDescent="0.25">
      <c r="A436" s="782"/>
      <c r="B436" s="291" t="s">
        <v>72</v>
      </c>
      <c r="C436" s="105" t="s">
        <v>187</v>
      </c>
      <c r="D436" s="13"/>
      <c r="E436" s="13"/>
      <c r="F436" s="13"/>
      <c r="G436" s="13"/>
      <c r="H436" s="13"/>
      <c r="I436" s="13"/>
      <c r="J436" s="96"/>
      <c r="K436" s="125" t="s">
        <v>188</v>
      </c>
      <c r="L436" s="785"/>
      <c r="M436" s="64">
        <v>190</v>
      </c>
      <c r="N436" s="65"/>
      <c r="O436" s="68"/>
    </row>
    <row r="437" spans="1:15" x14ac:dyDescent="0.25">
      <c r="A437" s="782"/>
      <c r="B437" s="291" t="s">
        <v>184</v>
      </c>
      <c r="C437" s="124"/>
      <c r="D437" s="13">
        <v>30</v>
      </c>
      <c r="E437" s="13">
        <v>30</v>
      </c>
      <c r="F437" s="13"/>
      <c r="G437" s="13"/>
      <c r="H437" s="13"/>
      <c r="I437" s="13"/>
      <c r="J437" s="96"/>
      <c r="K437" s="125"/>
      <c r="L437" s="785"/>
      <c r="M437" s="64"/>
      <c r="N437" s="65"/>
      <c r="O437" s="68"/>
    </row>
    <row r="438" spans="1:15" x14ac:dyDescent="0.25">
      <c r="A438" s="782"/>
      <c r="B438" s="107" t="s">
        <v>120</v>
      </c>
      <c r="C438" s="124"/>
      <c r="D438" s="63">
        <v>32.4</v>
      </c>
      <c r="E438" s="63">
        <v>32.4</v>
      </c>
      <c r="F438" s="63">
        <v>0</v>
      </c>
      <c r="G438" s="63">
        <v>0</v>
      </c>
      <c r="H438" s="63">
        <v>0</v>
      </c>
      <c r="I438" s="63">
        <v>0</v>
      </c>
      <c r="J438" s="96">
        <v>0</v>
      </c>
      <c r="K438" s="125"/>
      <c r="L438" s="785"/>
      <c r="M438" s="64"/>
      <c r="N438" s="65"/>
      <c r="O438" s="68"/>
    </row>
    <row r="439" spans="1:15" x14ac:dyDescent="0.25">
      <c r="A439" s="782"/>
      <c r="B439" s="107" t="s">
        <v>185</v>
      </c>
      <c r="C439" s="107"/>
      <c r="D439" s="63">
        <v>0.3</v>
      </c>
      <c r="E439" s="63">
        <v>0.3</v>
      </c>
      <c r="F439" s="63">
        <v>0.06</v>
      </c>
      <c r="G439" s="63">
        <v>0</v>
      </c>
      <c r="H439" s="63">
        <v>2.07E-2</v>
      </c>
      <c r="I439" s="63">
        <v>0.45540000000000003</v>
      </c>
      <c r="J439" s="96">
        <v>0.03</v>
      </c>
      <c r="K439" s="126"/>
      <c r="L439" s="785"/>
      <c r="M439" s="64"/>
      <c r="N439" s="114">
        <v>400</v>
      </c>
      <c r="O439" s="68">
        <f>SUM(N439*D439)/1000</f>
        <v>0.12</v>
      </c>
    </row>
    <row r="440" spans="1:15" x14ac:dyDescent="0.25">
      <c r="A440" s="782"/>
      <c r="B440" s="107" t="s">
        <v>49</v>
      </c>
      <c r="C440" s="107"/>
      <c r="D440" s="63">
        <v>10</v>
      </c>
      <c r="E440" s="63">
        <v>10</v>
      </c>
      <c r="F440" s="63">
        <v>0</v>
      </c>
      <c r="G440" s="63">
        <v>0</v>
      </c>
      <c r="H440" s="63">
        <v>9.98</v>
      </c>
      <c r="I440" s="63">
        <v>37.9</v>
      </c>
      <c r="J440" s="96">
        <v>0</v>
      </c>
      <c r="K440" s="126"/>
      <c r="L440" s="785"/>
      <c r="M440" s="64"/>
      <c r="N440" s="114">
        <v>50.7</v>
      </c>
      <c r="O440" s="68">
        <f>SUM(N440*D440)/1000</f>
        <v>0.50700000000000001</v>
      </c>
    </row>
    <row r="441" spans="1:15" x14ac:dyDescent="0.25">
      <c r="A441" s="782"/>
      <c r="B441" s="107" t="s">
        <v>19</v>
      </c>
      <c r="C441" s="107"/>
      <c r="D441" s="63">
        <v>150</v>
      </c>
      <c r="E441" s="63">
        <v>150</v>
      </c>
      <c r="F441" s="63">
        <v>0</v>
      </c>
      <c r="G441" s="63">
        <v>0</v>
      </c>
      <c r="H441" s="63">
        <v>0</v>
      </c>
      <c r="I441" s="63">
        <v>0</v>
      </c>
      <c r="J441" s="96">
        <v>0</v>
      </c>
      <c r="K441" s="126"/>
      <c r="L441" s="785"/>
      <c r="M441" s="64"/>
      <c r="N441" s="114">
        <v>0</v>
      </c>
      <c r="O441" s="68">
        <f>SUM(N441*D441)/1000</f>
        <v>0</v>
      </c>
    </row>
    <row r="442" spans="1:15" x14ac:dyDescent="0.25">
      <c r="A442" s="782"/>
      <c r="B442" s="157"/>
      <c r="C442" s="157"/>
      <c r="D442" s="51"/>
      <c r="E442" s="51"/>
      <c r="F442" s="274">
        <f>SUM(F439:F441)</f>
        <v>0.06</v>
      </c>
      <c r="G442" s="274">
        <f>SUM(G439:G441)</f>
        <v>0</v>
      </c>
      <c r="H442" s="274">
        <f>SUM(H439:H441)</f>
        <v>10.0007</v>
      </c>
      <c r="I442" s="274">
        <f>SUM(I439:I441)</f>
        <v>38.355399999999996</v>
      </c>
      <c r="J442" s="279">
        <f>SUM(J439:J441)</f>
        <v>0.03</v>
      </c>
      <c r="K442" s="156"/>
      <c r="L442" s="785"/>
      <c r="M442" s="64"/>
      <c r="N442" s="65"/>
      <c r="O442" s="72">
        <f>SUM(O439:O441)</f>
        <v>0.627</v>
      </c>
    </row>
    <row r="443" spans="1:15" x14ac:dyDescent="0.25">
      <c r="A443" s="782"/>
      <c r="B443" s="328" t="s">
        <v>115</v>
      </c>
      <c r="C443" s="124">
        <v>50</v>
      </c>
      <c r="D443" s="13"/>
      <c r="E443" s="13"/>
      <c r="F443" s="13"/>
      <c r="G443" s="13"/>
      <c r="H443" s="13"/>
      <c r="I443" s="13"/>
      <c r="J443" s="107"/>
      <c r="K443" s="125" t="s">
        <v>116</v>
      </c>
      <c r="L443" s="785"/>
      <c r="M443" s="64">
        <v>50</v>
      </c>
      <c r="N443" s="65"/>
      <c r="O443" s="68"/>
    </row>
    <row r="444" spans="1:15" x14ac:dyDescent="0.25">
      <c r="A444" s="782"/>
      <c r="B444" s="107" t="s">
        <v>106</v>
      </c>
      <c r="C444" s="107"/>
      <c r="D444" s="63">
        <v>30</v>
      </c>
      <c r="E444" s="63">
        <v>30</v>
      </c>
      <c r="F444" s="63">
        <v>2.31</v>
      </c>
      <c r="G444" s="63">
        <v>0.9</v>
      </c>
      <c r="H444" s="63">
        <v>14.94</v>
      </c>
      <c r="I444" s="63">
        <v>78.599999999999994</v>
      </c>
      <c r="J444" s="96">
        <v>0</v>
      </c>
      <c r="K444" s="126"/>
      <c r="L444" s="785"/>
      <c r="M444" s="64"/>
      <c r="N444" s="114">
        <v>50</v>
      </c>
      <c r="O444" s="68">
        <f>SUM(N444*D444)/1000</f>
        <v>1.5</v>
      </c>
    </row>
    <row r="445" spans="1:15" x14ac:dyDescent="0.25">
      <c r="A445" s="782"/>
      <c r="B445" s="107" t="s">
        <v>76</v>
      </c>
      <c r="C445" s="107"/>
      <c r="D445" s="63">
        <v>20.2</v>
      </c>
      <c r="E445" s="63">
        <v>20</v>
      </c>
      <c r="F445" s="63">
        <v>0.08</v>
      </c>
      <c r="G445" s="63" t="s">
        <v>35</v>
      </c>
      <c r="H445" s="63">
        <v>13.6</v>
      </c>
      <c r="I445" s="63">
        <v>52</v>
      </c>
      <c r="J445" s="96">
        <v>0.1</v>
      </c>
      <c r="K445" s="126"/>
      <c r="L445" s="785"/>
      <c r="M445" s="64"/>
      <c r="N445" s="114">
        <v>110</v>
      </c>
      <c r="O445" s="68">
        <f>SUM(N445*D445)/1000</f>
        <v>2.222</v>
      </c>
    </row>
    <row r="446" spans="1:15" x14ac:dyDescent="0.25">
      <c r="A446" s="783"/>
      <c r="B446" s="107"/>
      <c r="C446" s="107"/>
      <c r="D446" s="63"/>
      <c r="E446" s="63"/>
      <c r="F446" s="118">
        <f>SUM(F444:F445)</f>
        <v>2.39</v>
      </c>
      <c r="G446" s="118">
        <f>SUM(G444:G445)</f>
        <v>0.9</v>
      </c>
      <c r="H446" s="118">
        <f>SUM(H444:H445)</f>
        <v>28.54</v>
      </c>
      <c r="I446" s="118">
        <f>SUM(I444:I445)</f>
        <v>130.6</v>
      </c>
      <c r="J446" s="119">
        <f>SUM(J444:J445)</f>
        <v>0.1</v>
      </c>
      <c r="K446" s="156"/>
      <c r="L446" s="785"/>
      <c r="M446" s="64"/>
      <c r="N446" s="65"/>
      <c r="O446" s="72">
        <f>SUM(O444:O445)</f>
        <v>3.722</v>
      </c>
    </row>
    <row r="447" spans="1:15" hidden="1" x14ac:dyDescent="0.25">
      <c r="A447" s="787" t="s">
        <v>208</v>
      </c>
      <c r="B447" s="138"/>
      <c r="C447" s="225"/>
      <c r="D447" s="100"/>
      <c r="E447" s="100"/>
      <c r="F447" s="148"/>
      <c r="G447" s="148"/>
      <c r="H447" s="148"/>
      <c r="I447" s="148"/>
      <c r="J447" s="149"/>
      <c r="K447" s="162"/>
      <c r="L447" s="785"/>
      <c r="M447" s="64"/>
      <c r="N447" s="65"/>
      <c r="O447" s="66"/>
    </row>
    <row r="448" spans="1:15" x14ac:dyDescent="0.25">
      <c r="A448" s="788"/>
      <c r="B448" s="138" t="s">
        <v>206</v>
      </c>
      <c r="C448" s="312">
        <v>100</v>
      </c>
      <c r="D448" s="100">
        <v>100</v>
      </c>
      <c r="E448" s="100">
        <v>100</v>
      </c>
      <c r="F448" s="148">
        <v>0.5</v>
      </c>
      <c r="G448" s="148">
        <v>0</v>
      </c>
      <c r="H448" s="148">
        <v>12.2</v>
      </c>
      <c r="I448" s="148">
        <v>50.8</v>
      </c>
      <c r="J448" s="149">
        <v>10</v>
      </c>
      <c r="K448" s="162" t="s">
        <v>223</v>
      </c>
      <c r="L448" s="785"/>
      <c r="M448" s="64">
        <v>100</v>
      </c>
      <c r="N448" s="65">
        <v>55.58</v>
      </c>
      <c r="O448" s="72">
        <f>SUM(D448*N448)/1000</f>
        <v>5.5579999999999998</v>
      </c>
    </row>
    <row r="449" spans="1:15" x14ac:dyDescent="0.25">
      <c r="A449" s="789"/>
      <c r="B449" s="138" t="s">
        <v>57</v>
      </c>
      <c r="C449" s="150"/>
      <c r="D449" s="63"/>
      <c r="E449" s="13"/>
      <c r="F449" s="307">
        <f>SUM(F431,F435,F442,F446:F448)</f>
        <v>10.3794</v>
      </c>
      <c r="G449" s="307">
        <f t="shared" ref="G449:J449" si="40">SUM(G431,G435,G442,G446:G448)</f>
        <v>14.545</v>
      </c>
      <c r="H449" s="307">
        <f t="shared" si="40"/>
        <v>83.229100000000003</v>
      </c>
      <c r="I449" s="307">
        <f t="shared" si="40"/>
        <v>503.26740000000001</v>
      </c>
      <c r="J449" s="307">
        <f t="shared" si="40"/>
        <v>11.768000000000001</v>
      </c>
      <c r="K449" s="162"/>
      <c r="L449" s="786"/>
      <c r="M449" s="69">
        <f>SUM(M436:M448)</f>
        <v>340</v>
      </c>
      <c r="N449" s="65"/>
      <c r="O449" s="307" t="e">
        <f>SUM(#REF!,O442,O446:O448)</f>
        <v>#REF!</v>
      </c>
    </row>
    <row r="450" spans="1:15" x14ac:dyDescent="0.25">
      <c r="A450" s="456" t="s">
        <v>133</v>
      </c>
      <c r="B450" s="13"/>
      <c r="C450" s="4"/>
      <c r="D450" s="166"/>
      <c r="E450" s="167"/>
      <c r="F450" s="187"/>
      <c r="G450" s="187"/>
      <c r="H450" s="187"/>
      <c r="I450" s="187"/>
      <c r="J450" s="188"/>
      <c r="K450" s="190"/>
      <c r="L450" s="464"/>
      <c r="M450" s="64"/>
      <c r="N450" s="65"/>
      <c r="O450" s="68"/>
    </row>
    <row r="451" spans="1:15" ht="45" x14ac:dyDescent="0.25">
      <c r="A451" s="457"/>
      <c r="B451" s="442" t="s">
        <v>83</v>
      </c>
      <c r="C451" s="105" t="s">
        <v>84</v>
      </c>
      <c r="D451" s="13"/>
      <c r="E451" s="13"/>
      <c r="F451" s="13"/>
      <c r="G451" s="13"/>
      <c r="H451" s="13"/>
      <c r="I451" s="13"/>
      <c r="J451" s="96"/>
      <c r="K451" s="125" t="s">
        <v>85</v>
      </c>
      <c r="L451" s="465"/>
      <c r="M451" s="64">
        <v>200</v>
      </c>
      <c r="N451" s="65"/>
      <c r="O451" s="64"/>
    </row>
    <row r="452" spans="1:15" ht="17.25" customHeight="1" x14ac:dyDescent="0.25">
      <c r="A452" s="457"/>
      <c r="B452" s="173" t="s">
        <v>36</v>
      </c>
      <c r="C452" s="107"/>
      <c r="D452" s="63">
        <v>80</v>
      </c>
      <c r="E452" s="63">
        <v>60</v>
      </c>
      <c r="F452" s="63">
        <v>1.2</v>
      </c>
      <c r="G452" s="63">
        <v>0.24</v>
      </c>
      <c r="H452" s="63">
        <v>9.7799999999999994</v>
      </c>
      <c r="I452" s="63">
        <v>46.2</v>
      </c>
      <c r="J452" s="96">
        <v>12</v>
      </c>
      <c r="K452" s="126"/>
      <c r="L452" s="465"/>
      <c r="M452" s="64"/>
      <c r="N452" s="114">
        <v>21.89</v>
      </c>
      <c r="O452" s="68">
        <f>SUM(N452*D452)/1000</f>
        <v>1.7512000000000001</v>
      </c>
    </row>
    <row r="453" spans="1:15" x14ac:dyDescent="0.25">
      <c r="A453" s="457"/>
      <c r="B453" s="173" t="s">
        <v>86</v>
      </c>
      <c r="C453" s="107"/>
      <c r="D453" s="63">
        <v>4</v>
      </c>
      <c r="E453" s="63">
        <v>4</v>
      </c>
      <c r="F453" s="63">
        <v>0.372</v>
      </c>
      <c r="G453" s="63">
        <v>4.3999999999999997E-2</v>
      </c>
      <c r="H453" s="63">
        <v>2.948</v>
      </c>
      <c r="I453" s="63">
        <v>12.96</v>
      </c>
      <c r="J453" s="96">
        <v>0</v>
      </c>
      <c r="K453" s="126"/>
      <c r="L453" s="465"/>
      <c r="M453" s="64"/>
      <c r="N453" s="114">
        <v>26.15</v>
      </c>
      <c r="O453" s="68">
        <f t="shared" ref="O453:O455" si="41">SUM(N453*D453)/1000</f>
        <v>0.1046</v>
      </c>
    </row>
    <row r="454" spans="1:15" x14ac:dyDescent="0.25">
      <c r="A454" s="457"/>
      <c r="B454" s="173" t="s">
        <v>59</v>
      </c>
      <c r="C454" s="107"/>
      <c r="D454" s="63">
        <v>10</v>
      </c>
      <c r="E454" s="63">
        <v>8</v>
      </c>
      <c r="F454" s="63">
        <v>0.104</v>
      </c>
      <c r="G454" s="63">
        <v>8.0000000000000002E-3</v>
      </c>
      <c r="H454" s="63">
        <v>0.55200000000000005</v>
      </c>
      <c r="I454" s="63">
        <v>2.8</v>
      </c>
      <c r="J454" s="96">
        <v>0.4</v>
      </c>
      <c r="K454" s="126"/>
      <c r="L454" s="465"/>
      <c r="M454" s="64"/>
      <c r="N454" s="114">
        <v>38.5</v>
      </c>
      <c r="O454" s="68">
        <f t="shared" si="41"/>
        <v>0.38500000000000001</v>
      </c>
    </row>
    <row r="455" spans="1:15" x14ac:dyDescent="0.25">
      <c r="A455" s="457"/>
      <c r="B455" s="173" t="s">
        <v>32</v>
      </c>
      <c r="C455" s="107"/>
      <c r="D455" s="63">
        <v>4.8</v>
      </c>
      <c r="E455" s="63">
        <v>4</v>
      </c>
      <c r="F455" s="63">
        <v>5.6000000000000001E-2</v>
      </c>
      <c r="G455" s="63">
        <v>8.0000000000000002E-3</v>
      </c>
      <c r="H455" s="63">
        <v>0.32800000000000001</v>
      </c>
      <c r="I455" s="63">
        <v>1.64</v>
      </c>
      <c r="J455" s="96">
        <v>0.4</v>
      </c>
      <c r="K455" s="126"/>
      <c r="L455" s="465"/>
      <c r="M455" s="64"/>
      <c r="N455" s="114">
        <v>21.98</v>
      </c>
      <c r="O455" s="68">
        <f t="shared" si="41"/>
        <v>0.105504</v>
      </c>
    </row>
    <row r="456" spans="1:15" x14ac:dyDescent="0.25">
      <c r="A456" s="457"/>
      <c r="B456" s="173" t="s">
        <v>87</v>
      </c>
      <c r="C456" s="107"/>
      <c r="D456" s="63">
        <v>13.4</v>
      </c>
      <c r="E456" s="63">
        <v>12</v>
      </c>
      <c r="F456" s="63">
        <v>9.6000000000000002E-2</v>
      </c>
      <c r="G456" s="63">
        <v>1.2E-2</v>
      </c>
      <c r="H456" s="63">
        <v>0.20399999999999999</v>
      </c>
      <c r="I456" s="63">
        <v>1.56</v>
      </c>
      <c r="J456" s="96">
        <v>0.6</v>
      </c>
      <c r="K456" s="126"/>
      <c r="L456" s="465"/>
      <c r="M456" s="64"/>
      <c r="N456" s="114">
        <v>115.99</v>
      </c>
      <c r="O456" s="68">
        <v>0</v>
      </c>
    </row>
    <row r="457" spans="1:15" x14ac:dyDescent="0.25">
      <c r="A457" s="457"/>
      <c r="B457" s="173" t="s">
        <v>37</v>
      </c>
      <c r="C457" s="107"/>
      <c r="D457" s="63">
        <v>4</v>
      </c>
      <c r="E457" s="63">
        <v>4</v>
      </c>
      <c r="F457" s="63">
        <v>0</v>
      </c>
      <c r="G457" s="63">
        <v>3.996</v>
      </c>
      <c r="H457" s="63">
        <v>0</v>
      </c>
      <c r="I457" s="63">
        <v>35.96</v>
      </c>
      <c r="J457" s="96">
        <v>0</v>
      </c>
      <c r="K457" s="126"/>
      <c r="L457" s="465"/>
      <c r="M457" s="64"/>
      <c r="N457" s="114">
        <v>92.2</v>
      </c>
      <c r="O457" s="68">
        <f t="shared" ref="O457:O458" si="42">SUM(N457*D457)/1000</f>
        <v>0.36880000000000002</v>
      </c>
    </row>
    <row r="458" spans="1:15" x14ac:dyDescent="0.25">
      <c r="A458" s="457"/>
      <c r="B458" s="173" t="s">
        <v>19</v>
      </c>
      <c r="C458" s="107"/>
      <c r="D458" s="63">
        <v>150</v>
      </c>
      <c r="E458" s="63">
        <v>150</v>
      </c>
      <c r="F458" s="63">
        <v>0</v>
      </c>
      <c r="G458" s="63">
        <v>0</v>
      </c>
      <c r="H458" s="63">
        <v>0</v>
      </c>
      <c r="I458" s="63">
        <v>0</v>
      </c>
      <c r="J458" s="96">
        <v>0</v>
      </c>
      <c r="K458" s="126"/>
      <c r="L458" s="465"/>
      <c r="M458" s="64"/>
      <c r="N458" s="114">
        <v>0</v>
      </c>
      <c r="O458" s="68">
        <f t="shared" si="42"/>
        <v>0</v>
      </c>
    </row>
    <row r="459" spans="1:15" x14ac:dyDescent="0.25">
      <c r="A459" s="457"/>
      <c r="B459" s="173" t="s">
        <v>22</v>
      </c>
      <c r="C459" s="107"/>
      <c r="D459" s="63">
        <v>1.2</v>
      </c>
      <c r="E459" s="63">
        <v>1.2</v>
      </c>
      <c r="F459" s="63">
        <v>0</v>
      </c>
      <c r="G459" s="63">
        <v>0</v>
      </c>
      <c r="H459" s="63">
        <v>0</v>
      </c>
      <c r="I459" s="63">
        <v>0</v>
      </c>
      <c r="J459" s="96">
        <v>0</v>
      </c>
      <c r="K459" s="126"/>
      <c r="L459" s="465"/>
      <c r="M459" s="64"/>
      <c r="N459" s="114">
        <v>16.62</v>
      </c>
      <c r="O459" s="68">
        <v>1.575E-2</v>
      </c>
    </row>
    <row r="460" spans="1:15" x14ac:dyDescent="0.25">
      <c r="A460" s="457"/>
      <c r="B460" s="173" t="s">
        <v>62</v>
      </c>
      <c r="C460" s="107"/>
      <c r="D460" s="63">
        <v>4</v>
      </c>
      <c r="E460" s="63">
        <v>4</v>
      </c>
      <c r="F460" s="63">
        <v>0.1</v>
      </c>
      <c r="G460" s="63">
        <v>0.6</v>
      </c>
      <c r="H460" s="63">
        <v>0.13600000000000001</v>
      </c>
      <c r="I460" s="63">
        <v>8.24</v>
      </c>
      <c r="J460" s="96">
        <v>1.2E-2</v>
      </c>
      <c r="K460" s="126"/>
      <c r="L460" s="465"/>
      <c r="M460" s="64"/>
      <c r="N460" s="114">
        <v>153</v>
      </c>
      <c r="O460" s="68">
        <f t="shared" ref="O460" si="43">SUM(N460*D460)/1000</f>
        <v>0.61199999999999999</v>
      </c>
    </row>
    <row r="461" spans="1:15" x14ac:dyDescent="0.25">
      <c r="A461" s="457"/>
      <c r="B461" s="453"/>
      <c r="C461" s="204"/>
      <c r="D461" s="205"/>
      <c r="E461" s="205"/>
      <c r="F461" s="206">
        <f>SUM(F452:F460)</f>
        <v>1.9280000000000004</v>
      </c>
      <c r="G461" s="206">
        <f t="shared" ref="G461:J461" si="44">SUM(G452:G460)</f>
        <v>4.9079999999999995</v>
      </c>
      <c r="H461" s="206">
        <f t="shared" si="44"/>
        <v>13.947999999999999</v>
      </c>
      <c r="I461" s="206">
        <f t="shared" si="44"/>
        <v>109.36</v>
      </c>
      <c r="J461" s="206">
        <f t="shared" si="44"/>
        <v>13.412000000000001</v>
      </c>
      <c r="K461" s="153"/>
      <c r="L461" s="465"/>
      <c r="M461" s="64"/>
      <c r="N461" s="65"/>
      <c r="O461" s="72">
        <f>SUM(O452:O460)</f>
        <v>3.3428540000000004</v>
      </c>
    </row>
    <row r="462" spans="1:15" ht="27" customHeight="1" x14ac:dyDescent="0.25">
      <c r="A462" s="462"/>
      <c r="B462" s="351" t="s">
        <v>251</v>
      </c>
      <c r="C462" s="339">
        <v>120</v>
      </c>
      <c r="D462" s="340"/>
      <c r="E462" s="340"/>
      <c r="F462" s="417">
        <f>F463+F464+F465+F466+F467+F468+F469+F470+F471</f>
        <v>12.527600000000001</v>
      </c>
      <c r="G462" s="417">
        <f>G463+G464+G465+G466+G467+G468+G469+G470+G471</f>
        <v>6.6636000000000006</v>
      </c>
      <c r="H462" s="417">
        <f>H463+H464+H465+H466+H467+H468+H469+H470+H471</f>
        <v>5.8659999999999997</v>
      </c>
      <c r="I462" s="417">
        <f>I463+I464+I465+I466+I467+I468+I469+I470+I471</f>
        <v>134.41999999999999</v>
      </c>
      <c r="J462" s="419">
        <f>J463+J464+J465+J466+J467+J468+J469+J470+J471</f>
        <v>4.42</v>
      </c>
      <c r="K462" s="481" t="s">
        <v>313</v>
      </c>
      <c r="L462" s="466"/>
      <c r="M462" s="64"/>
      <c r="N462" s="114"/>
      <c r="O462" s="68"/>
    </row>
    <row r="463" spans="1:15" x14ac:dyDescent="0.25">
      <c r="A463" s="462"/>
      <c r="B463" s="353" t="s">
        <v>252</v>
      </c>
      <c r="C463" s="354"/>
      <c r="D463" s="340">
        <v>147.6</v>
      </c>
      <c r="E463" s="340">
        <v>74.400000000000006</v>
      </c>
      <c r="F463" s="340">
        <f>E463*15.9/100</f>
        <v>11.829600000000001</v>
      </c>
      <c r="G463" s="340">
        <f>0.9*E463/100</f>
        <v>0.66960000000000008</v>
      </c>
      <c r="H463" s="340">
        <v>0</v>
      </c>
      <c r="I463" s="340">
        <f>72*E463/100</f>
        <v>53.568000000000005</v>
      </c>
      <c r="J463" s="346">
        <v>0</v>
      </c>
      <c r="K463" s="480"/>
      <c r="L463" s="466"/>
      <c r="M463" s="65">
        <v>110</v>
      </c>
      <c r="N463" s="65"/>
      <c r="O463" s="64"/>
    </row>
    <row r="464" spans="1:15" x14ac:dyDescent="0.25">
      <c r="A464" s="462"/>
      <c r="B464" s="353" t="s">
        <v>229</v>
      </c>
      <c r="C464" s="354"/>
      <c r="D464" s="340">
        <v>22.8</v>
      </c>
      <c r="E464" s="340">
        <v>22.8</v>
      </c>
      <c r="F464" s="340">
        <v>0</v>
      </c>
      <c r="G464" s="340">
        <v>0</v>
      </c>
      <c r="H464" s="340">
        <v>0</v>
      </c>
      <c r="I464" s="340">
        <v>0</v>
      </c>
      <c r="J464" s="346">
        <v>0</v>
      </c>
      <c r="K464" s="480"/>
      <c r="L464" s="466"/>
      <c r="M464" s="65"/>
      <c r="N464" s="65">
        <v>215.64</v>
      </c>
      <c r="O464" s="68">
        <f>SUM(N464*D464)/1000</f>
        <v>4.9165919999999996</v>
      </c>
    </row>
    <row r="465" spans="1:15" x14ac:dyDescent="0.25">
      <c r="A465" s="462"/>
      <c r="B465" s="353" t="s">
        <v>238</v>
      </c>
      <c r="C465" s="343"/>
      <c r="D465" s="340">
        <v>32.4</v>
      </c>
      <c r="E465" s="340">
        <v>25.2</v>
      </c>
      <c r="F465" s="340">
        <f>1.3*E465/100</f>
        <v>0.3276</v>
      </c>
      <c r="G465" s="340">
        <v>0</v>
      </c>
      <c r="H465" s="340">
        <f>6.9*E465/100</f>
        <v>1.7387999999999999</v>
      </c>
      <c r="I465" s="340">
        <f>35*E465/100</f>
        <v>8.82</v>
      </c>
      <c r="J465" s="346">
        <v>1.26</v>
      </c>
      <c r="K465" s="480"/>
      <c r="L465" s="466"/>
      <c r="M465" s="65"/>
      <c r="N465" s="65">
        <v>0</v>
      </c>
      <c r="O465" s="68">
        <f>SUM(N465*D465)/1000</f>
        <v>0</v>
      </c>
    </row>
    <row r="466" spans="1:15" x14ac:dyDescent="0.25">
      <c r="A466" s="462"/>
      <c r="B466" s="353" t="s">
        <v>239</v>
      </c>
      <c r="C466" s="354"/>
      <c r="D466" s="340">
        <v>14.4</v>
      </c>
      <c r="E466" s="340">
        <v>11</v>
      </c>
      <c r="F466" s="340">
        <v>0.14000000000000001</v>
      </c>
      <c r="G466" s="340">
        <v>0</v>
      </c>
      <c r="H466" s="340">
        <v>0.82</v>
      </c>
      <c r="I466" s="340">
        <v>4.0999999999999996</v>
      </c>
      <c r="J466" s="346">
        <v>1</v>
      </c>
      <c r="K466" s="480"/>
      <c r="L466" s="466"/>
      <c r="M466" s="65"/>
      <c r="N466" s="114">
        <v>35</v>
      </c>
      <c r="O466" s="68">
        <f>SUM(N466*D466)/1000</f>
        <v>0.504</v>
      </c>
    </row>
    <row r="467" spans="1:15" x14ac:dyDescent="0.25">
      <c r="A467" s="462"/>
      <c r="B467" s="353" t="s">
        <v>240</v>
      </c>
      <c r="C467" s="354"/>
      <c r="D467" s="340">
        <v>4.8</v>
      </c>
      <c r="E467" s="340">
        <v>4.8</v>
      </c>
      <c r="F467" s="340">
        <f>4.8*E467/100</f>
        <v>0.23039999999999999</v>
      </c>
      <c r="G467" s="340">
        <v>0</v>
      </c>
      <c r="H467" s="340">
        <f>19*E467/100</f>
        <v>0.91200000000000003</v>
      </c>
      <c r="I467" s="340">
        <f>102*E467/100</f>
        <v>4.8959999999999999</v>
      </c>
      <c r="J467" s="346">
        <v>2.16</v>
      </c>
      <c r="K467" s="480"/>
      <c r="L467" s="466"/>
      <c r="M467" s="65"/>
      <c r="N467" s="114">
        <v>43.22</v>
      </c>
      <c r="O467" s="68">
        <f>SUM(N467*D467)/1000</f>
        <v>0.207456</v>
      </c>
    </row>
    <row r="468" spans="1:15" ht="30" x14ac:dyDescent="0.25">
      <c r="A468" s="462"/>
      <c r="B468" s="353" t="s">
        <v>241</v>
      </c>
      <c r="C468" s="372"/>
      <c r="D468" s="340">
        <v>6</v>
      </c>
      <c r="E468" s="340">
        <v>6</v>
      </c>
      <c r="F468" s="340">
        <v>0</v>
      </c>
      <c r="G468" s="340">
        <f>99.9*E468/100</f>
        <v>5.9940000000000007</v>
      </c>
      <c r="H468" s="340">
        <v>0</v>
      </c>
      <c r="I468" s="340">
        <f>899*E468/100</f>
        <v>53.94</v>
      </c>
      <c r="J468" s="346">
        <v>0</v>
      </c>
      <c r="K468" s="480"/>
      <c r="L468" s="466"/>
      <c r="M468" s="65"/>
      <c r="N468" s="114">
        <v>4.6989999999999998</v>
      </c>
      <c r="O468" s="68">
        <f>SUM(D468*N468)/40</f>
        <v>0.70484999999999998</v>
      </c>
    </row>
    <row r="469" spans="1:15" x14ac:dyDescent="0.25">
      <c r="A469" s="462"/>
      <c r="B469" s="353" t="s">
        <v>230</v>
      </c>
      <c r="C469" s="339"/>
      <c r="D469" s="340">
        <v>2.4</v>
      </c>
      <c r="E469" s="340">
        <v>2.4</v>
      </c>
      <c r="F469" s="340">
        <v>0</v>
      </c>
      <c r="G469" s="340">
        <v>0</v>
      </c>
      <c r="H469" s="347">
        <f>99.8*E469/100</f>
        <v>2.3952</v>
      </c>
      <c r="I469" s="347">
        <f>379*E469/100</f>
        <v>9.0960000000000001</v>
      </c>
      <c r="J469" s="349">
        <v>0</v>
      </c>
      <c r="K469" s="480"/>
      <c r="L469" s="466"/>
      <c r="M469" s="65"/>
      <c r="N469" s="114">
        <v>376.98</v>
      </c>
      <c r="O469" s="68">
        <f>SUM(N469*D469)/1000</f>
        <v>0.90475200000000011</v>
      </c>
    </row>
    <row r="470" spans="1:15" x14ac:dyDescent="0.25">
      <c r="A470" s="462"/>
      <c r="B470" s="353" t="s">
        <v>231</v>
      </c>
      <c r="C470" s="343"/>
      <c r="D470" s="340">
        <v>1.7</v>
      </c>
      <c r="E470" s="340">
        <v>1.7</v>
      </c>
      <c r="F470" s="340">
        <v>0</v>
      </c>
      <c r="G470" s="340">
        <v>0</v>
      </c>
      <c r="H470" s="340">
        <v>0</v>
      </c>
      <c r="I470" s="340">
        <v>0</v>
      </c>
      <c r="J470" s="346">
        <v>0</v>
      </c>
      <c r="K470" s="480"/>
      <c r="L470" s="466"/>
      <c r="M470" s="65"/>
      <c r="N470" s="114">
        <v>16.62</v>
      </c>
      <c r="O470" s="68">
        <f>SUM(N470*D470)/1000</f>
        <v>2.8254000000000001E-2</v>
      </c>
    </row>
    <row r="471" spans="1:15" x14ac:dyDescent="0.25">
      <c r="A471" s="462"/>
      <c r="B471" s="353" t="s">
        <v>242</v>
      </c>
      <c r="C471" s="343"/>
      <c r="D471" s="340">
        <v>0.01</v>
      </c>
      <c r="E471" s="340">
        <v>0.01</v>
      </c>
      <c r="F471" s="340">
        <v>0</v>
      </c>
      <c r="G471" s="340">
        <v>0</v>
      </c>
      <c r="H471" s="340">
        <v>0</v>
      </c>
      <c r="I471" s="340">
        <v>0</v>
      </c>
      <c r="J471" s="346">
        <v>0</v>
      </c>
      <c r="K471" s="480"/>
      <c r="L471" s="466"/>
      <c r="M471" s="65"/>
      <c r="N471" s="114">
        <v>0</v>
      </c>
      <c r="O471" s="68">
        <v>0</v>
      </c>
    </row>
    <row r="472" spans="1:15" x14ac:dyDescent="0.25">
      <c r="A472" s="782"/>
      <c r="B472" s="435" t="s">
        <v>89</v>
      </c>
      <c r="C472" s="124">
        <v>150</v>
      </c>
      <c r="D472" s="13"/>
      <c r="E472" s="13"/>
      <c r="F472" s="63"/>
      <c r="G472" s="63"/>
      <c r="H472" s="63"/>
      <c r="I472" s="63"/>
      <c r="J472" s="96"/>
      <c r="K472" s="155" t="s">
        <v>90</v>
      </c>
      <c r="L472" s="785"/>
      <c r="M472" s="64">
        <v>150</v>
      </c>
      <c r="N472" s="65"/>
      <c r="O472" s="64"/>
    </row>
    <row r="473" spans="1:15" x14ac:dyDescent="0.25">
      <c r="A473" s="782"/>
      <c r="B473" s="107" t="s">
        <v>91</v>
      </c>
      <c r="C473" s="107"/>
      <c r="D473" s="63">
        <v>171</v>
      </c>
      <c r="E473" s="63">
        <v>128.30000000000001</v>
      </c>
      <c r="F473" s="63">
        <v>2.54</v>
      </c>
      <c r="G473" s="63">
        <v>0.50800000000000001</v>
      </c>
      <c r="H473" s="63">
        <v>20.701000000000001</v>
      </c>
      <c r="I473" s="63">
        <v>97.79</v>
      </c>
      <c r="J473" s="96">
        <v>25.4</v>
      </c>
      <c r="K473" s="152"/>
      <c r="L473" s="785"/>
      <c r="M473" s="64"/>
      <c r="N473" s="114">
        <v>21.89</v>
      </c>
      <c r="O473" s="68">
        <f t="shared" ref="O473:O476" si="45">SUM(N473*D473)/1000</f>
        <v>3.7431900000000002</v>
      </c>
    </row>
    <row r="474" spans="1:15" x14ac:dyDescent="0.25">
      <c r="A474" s="782"/>
      <c r="B474" s="107" t="s">
        <v>44</v>
      </c>
      <c r="C474" s="107"/>
      <c r="D474" s="63">
        <v>23.7</v>
      </c>
      <c r="E474" s="63" t="s">
        <v>92</v>
      </c>
      <c r="F474" s="63">
        <v>0.63</v>
      </c>
      <c r="G474" s="63">
        <v>0.72</v>
      </c>
      <c r="H474" s="63">
        <v>1.0575000000000001</v>
      </c>
      <c r="I474" s="63">
        <v>13.05</v>
      </c>
      <c r="J474" s="96">
        <v>0.29249999999999998</v>
      </c>
      <c r="K474" s="152"/>
      <c r="L474" s="785"/>
      <c r="M474" s="64"/>
      <c r="N474" s="114">
        <v>43.22</v>
      </c>
      <c r="O474" s="68">
        <f t="shared" si="45"/>
        <v>1.0243139999999999</v>
      </c>
    </row>
    <row r="475" spans="1:15" x14ac:dyDescent="0.25">
      <c r="A475" s="782"/>
      <c r="B475" s="107" t="s">
        <v>21</v>
      </c>
      <c r="C475" s="107"/>
      <c r="D475" s="63">
        <v>5.3</v>
      </c>
      <c r="E475" s="63">
        <v>5.3</v>
      </c>
      <c r="F475" s="63">
        <v>4.24E-2</v>
      </c>
      <c r="G475" s="63">
        <v>3.8424999999999998</v>
      </c>
      <c r="H475" s="63">
        <v>6.8900000000000003E-2</v>
      </c>
      <c r="I475" s="63">
        <v>35.033000000000001</v>
      </c>
      <c r="J475" s="96">
        <v>0</v>
      </c>
      <c r="K475" s="152"/>
      <c r="L475" s="785"/>
      <c r="M475" s="64"/>
      <c r="N475" s="114">
        <v>376.98</v>
      </c>
      <c r="O475" s="68">
        <f t="shared" si="45"/>
        <v>1.997994</v>
      </c>
    </row>
    <row r="476" spans="1:15" x14ac:dyDescent="0.25">
      <c r="A476" s="782"/>
      <c r="B476" s="107" t="s">
        <v>22</v>
      </c>
      <c r="C476" s="107"/>
      <c r="D476" s="63">
        <v>1.5</v>
      </c>
      <c r="E476" s="63">
        <v>1.5</v>
      </c>
      <c r="F476" s="63">
        <v>0</v>
      </c>
      <c r="G476" s="63">
        <v>0</v>
      </c>
      <c r="H476" s="63">
        <v>0</v>
      </c>
      <c r="I476" s="63">
        <v>0</v>
      </c>
      <c r="J476" s="96">
        <v>0</v>
      </c>
      <c r="K476" s="126"/>
      <c r="L476" s="785"/>
      <c r="M476" s="64"/>
      <c r="N476" s="114">
        <v>16.62</v>
      </c>
      <c r="O476" s="68">
        <f t="shared" si="45"/>
        <v>2.4930000000000001E-2</v>
      </c>
    </row>
    <row r="477" spans="1:15" x14ac:dyDescent="0.25">
      <c r="A477" s="782"/>
      <c r="B477" s="213"/>
      <c r="C477" s="216"/>
      <c r="D477" s="100"/>
      <c r="E477" s="100"/>
      <c r="F477" s="192">
        <f>SUM(F473:F476)</f>
        <v>3.2124000000000001</v>
      </c>
      <c r="G477" s="192">
        <f>SUM(G473:G476)</f>
        <v>5.0705</v>
      </c>
      <c r="H477" s="192">
        <f>SUM(H473:H476)</f>
        <v>21.827400000000001</v>
      </c>
      <c r="I477" s="192">
        <f>SUM(I473:I476)</f>
        <v>145.87299999999999</v>
      </c>
      <c r="J477" s="193">
        <f>SUM(J473:J476)</f>
        <v>25.692499999999999</v>
      </c>
      <c r="K477" s="156"/>
      <c r="L477" s="785"/>
      <c r="M477" s="64"/>
      <c r="N477" s="65"/>
      <c r="O477" s="72">
        <f>SUM(O473:O476)</f>
        <v>6.7904280000000012</v>
      </c>
    </row>
    <row r="478" spans="1:15" ht="30" x14ac:dyDescent="0.25">
      <c r="A478" s="782"/>
      <c r="B478" s="138" t="s">
        <v>180</v>
      </c>
      <c r="C478" s="124">
        <v>180</v>
      </c>
      <c r="D478" s="13"/>
      <c r="E478" s="13"/>
      <c r="F478" s="63"/>
      <c r="G478" s="63"/>
      <c r="H478" s="63"/>
      <c r="I478" s="63"/>
      <c r="J478" s="96"/>
      <c r="K478" s="108" t="s">
        <v>181</v>
      </c>
      <c r="L478" s="785"/>
      <c r="M478" s="64">
        <v>180</v>
      </c>
      <c r="N478" s="65"/>
      <c r="O478" s="68"/>
    </row>
    <row r="479" spans="1:15" ht="15.75" customHeight="1" x14ac:dyDescent="0.25">
      <c r="A479" s="782"/>
      <c r="B479" s="107" t="s">
        <v>182</v>
      </c>
      <c r="C479" s="107"/>
      <c r="D479" s="63">
        <v>18</v>
      </c>
      <c r="E479" s="63" t="s">
        <v>183</v>
      </c>
      <c r="F479" s="63">
        <v>0.93600000000000005</v>
      </c>
      <c r="G479" s="63">
        <v>5.3999999999999999E-2</v>
      </c>
      <c r="H479" s="63">
        <v>9.18</v>
      </c>
      <c r="I479" s="63">
        <v>41.76</v>
      </c>
      <c r="J479" s="96">
        <v>0.72</v>
      </c>
      <c r="K479" s="136"/>
      <c r="L479" s="785"/>
      <c r="M479" s="64"/>
      <c r="N479" s="114">
        <v>100</v>
      </c>
      <c r="O479" s="68">
        <f>SUM(N479*D479)/1000</f>
        <v>1.8</v>
      </c>
    </row>
    <row r="480" spans="1:15" x14ac:dyDescent="0.25">
      <c r="A480" s="782"/>
      <c r="B480" s="107" t="s">
        <v>38</v>
      </c>
      <c r="C480" s="107"/>
      <c r="D480" s="63">
        <v>14.4</v>
      </c>
      <c r="E480" s="63">
        <v>14.4</v>
      </c>
      <c r="F480" s="63">
        <v>0</v>
      </c>
      <c r="G480" s="63">
        <v>0</v>
      </c>
      <c r="H480" s="63">
        <v>14.371</v>
      </c>
      <c r="I480" s="63">
        <v>54.576000000000001</v>
      </c>
      <c r="J480" s="96">
        <v>0</v>
      </c>
      <c r="K480" s="136"/>
      <c r="L480" s="785"/>
      <c r="M480" s="64"/>
      <c r="N480" s="114">
        <v>50.7</v>
      </c>
      <c r="O480" s="68">
        <f>SUM(N480*D480)/1000</f>
        <v>0.73008000000000006</v>
      </c>
    </row>
    <row r="481" spans="1:15" x14ac:dyDescent="0.25">
      <c r="A481" s="782"/>
      <c r="B481" s="107" t="s">
        <v>19</v>
      </c>
      <c r="C481" s="107"/>
      <c r="D481" s="63">
        <v>182.7</v>
      </c>
      <c r="E481" s="63">
        <v>182.7</v>
      </c>
      <c r="F481" s="63">
        <v>0</v>
      </c>
      <c r="G481" s="63">
        <v>0</v>
      </c>
      <c r="H481" s="63">
        <v>0</v>
      </c>
      <c r="I481" s="63">
        <v>0</v>
      </c>
      <c r="J481" s="96">
        <v>0</v>
      </c>
      <c r="K481" s="136"/>
      <c r="L481" s="785"/>
      <c r="M481" s="64"/>
      <c r="N481" s="114">
        <v>0</v>
      </c>
      <c r="O481" s="68">
        <f>SUM(N481*D481)/1000</f>
        <v>0</v>
      </c>
    </row>
    <row r="482" spans="1:15" x14ac:dyDescent="0.25">
      <c r="A482" s="782"/>
      <c r="B482" s="107"/>
      <c r="C482" s="107"/>
      <c r="D482" s="63"/>
      <c r="E482" s="63"/>
      <c r="F482" s="118">
        <f>SUM(F479:F481)</f>
        <v>0.93600000000000005</v>
      </c>
      <c r="G482" s="118">
        <f>SUM(G479:G481)</f>
        <v>5.3999999999999999E-2</v>
      </c>
      <c r="H482" s="118">
        <f>SUM(H479:H481)</f>
        <v>23.551000000000002</v>
      </c>
      <c r="I482" s="118">
        <f>SUM(I479:I481)</f>
        <v>96.335999999999999</v>
      </c>
      <c r="J482" s="118">
        <f>SUM(J479:J481)</f>
        <v>0.72</v>
      </c>
      <c r="K482" s="153"/>
      <c r="L482" s="785"/>
      <c r="M482" s="64"/>
      <c r="N482" s="47"/>
      <c r="O482" s="72">
        <f>SUM(O479:O481)</f>
        <v>2.5300799999999999</v>
      </c>
    </row>
    <row r="483" spans="1:15" x14ac:dyDescent="0.25">
      <c r="A483" s="782"/>
      <c r="B483" s="291" t="s">
        <v>40</v>
      </c>
      <c r="C483" s="124">
        <v>70</v>
      </c>
      <c r="D483" s="63">
        <v>70</v>
      </c>
      <c r="E483" s="63">
        <v>70</v>
      </c>
      <c r="F483" s="118">
        <v>3.85</v>
      </c>
      <c r="G483" s="118">
        <v>1.5</v>
      </c>
      <c r="H483" s="118">
        <v>24.9</v>
      </c>
      <c r="I483" s="118">
        <v>131</v>
      </c>
      <c r="J483" s="139">
        <v>0</v>
      </c>
      <c r="K483" s="153" t="s">
        <v>73</v>
      </c>
      <c r="L483" s="785"/>
      <c r="M483" s="64">
        <v>40</v>
      </c>
      <c r="N483" s="114">
        <v>35</v>
      </c>
      <c r="O483" s="72">
        <f>SUM(N483*D483)/1000</f>
        <v>2.4500000000000002</v>
      </c>
    </row>
    <row r="484" spans="1:15" x14ac:dyDescent="0.25">
      <c r="A484" s="783"/>
      <c r="B484" s="124" t="s">
        <v>74</v>
      </c>
      <c r="C484" s="227"/>
      <c r="D484" s="102"/>
      <c r="E484" s="63"/>
      <c r="F484" s="273">
        <f>SUM(F461+F462+F477+F482+F483)</f>
        <v>22.454000000000004</v>
      </c>
      <c r="G484" s="273">
        <f t="shared" ref="G484:J484" si="46">SUM(G461+G462+G477+G482+G483)</f>
        <v>18.196099999999998</v>
      </c>
      <c r="H484" s="273">
        <f t="shared" si="46"/>
        <v>90.092399999999998</v>
      </c>
      <c r="I484" s="273">
        <f t="shared" si="46"/>
        <v>616.98900000000003</v>
      </c>
      <c r="J484" s="273">
        <f t="shared" si="46"/>
        <v>44.244500000000002</v>
      </c>
      <c r="K484" s="158"/>
      <c r="L484" s="786"/>
      <c r="M484" s="69">
        <f>SUM(M472:M483)</f>
        <v>370</v>
      </c>
      <c r="N484" s="65"/>
      <c r="O484" s="273">
        <f>SUM(O461+O462+O477+O482+O483)</f>
        <v>15.113362000000002</v>
      </c>
    </row>
    <row r="485" spans="1:15" x14ac:dyDescent="0.25">
      <c r="A485" s="5" t="s">
        <v>136</v>
      </c>
      <c r="B485" s="13"/>
      <c r="C485" s="4"/>
      <c r="D485" s="105"/>
      <c r="E485" s="106"/>
      <c r="F485" s="228"/>
      <c r="G485" s="228"/>
      <c r="H485" s="228"/>
      <c r="I485" s="228"/>
      <c r="J485" s="229"/>
      <c r="K485" s="153"/>
      <c r="L485" s="464"/>
      <c r="M485" s="64"/>
      <c r="N485" s="65"/>
      <c r="O485" s="68"/>
    </row>
    <row r="486" spans="1:15" x14ac:dyDescent="0.25">
      <c r="A486" s="781"/>
      <c r="B486" s="321" t="s">
        <v>72</v>
      </c>
      <c r="C486" s="105" t="s">
        <v>187</v>
      </c>
      <c r="D486" s="13"/>
      <c r="E486" s="13"/>
      <c r="F486" s="13"/>
      <c r="G486" s="13"/>
      <c r="H486" s="13"/>
      <c r="I486" s="13"/>
      <c r="J486" s="96"/>
      <c r="K486" s="125" t="s">
        <v>188</v>
      </c>
      <c r="L486" s="784" t="s">
        <v>43</v>
      </c>
      <c r="M486" s="64">
        <v>190</v>
      </c>
      <c r="N486" s="65"/>
      <c r="O486" s="68"/>
    </row>
    <row r="487" spans="1:15" x14ac:dyDescent="0.25">
      <c r="A487" s="782"/>
      <c r="B487" s="321" t="s">
        <v>184</v>
      </c>
      <c r="C487" s="124"/>
      <c r="D487" s="13">
        <v>30</v>
      </c>
      <c r="E487" s="13">
        <v>30</v>
      </c>
      <c r="F487" s="13"/>
      <c r="G487" s="13"/>
      <c r="H487" s="13"/>
      <c r="I487" s="13"/>
      <c r="J487" s="96"/>
      <c r="K487" s="125"/>
      <c r="L487" s="785"/>
      <c r="M487" s="64"/>
      <c r="N487" s="144"/>
      <c r="O487" s="68"/>
    </row>
    <row r="488" spans="1:15" x14ac:dyDescent="0.25">
      <c r="A488" s="782"/>
      <c r="B488" s="107" t="s">
        <v>120</v>
      </c>
      <c r="C488" s="124"/>
      <c r="D488" s="63">
        <v>32.4</v>
      </c>
      <c r="E488" s="63">
        <v>32.4</v>
      </c>
      <c r="F488" s="63">
        <v>0</v>
      </c>
      <c r="G488" s="63">
        <v>0</v>
      </c>
      <c r="H488" s="63">
        <v>0</v>
      </c>
      <c r="I488" s="63">
        <v>0</v>
      </c>
      <c r="J488" s="96">
        <v>0</v>
      </c>
      <c r="K488" s="125"/>
      <c r="L488" s="785"/>
      <c r="M488" s="64"/>
      <c r="N488" s="144">
        <v>0</v>
      </c>
      <c r="O488" s="68">
        <f>SUM(N488*D488)/1000</f>
        <v>0</v>
      </c>
    </row>
    <row r="489" spans="1:15" x14ac:dyDescent="0.25">
      <c r="A489" s="782"/>
      <c r="B489" s="107" t="s">
        <v>185</v>
      </c>
      <c r="C489" s="107"/>
      <c r="D489" s="63">
        <v>0.3</v>
      </c>
      <c r="E489" s="63">
        <v>0.3</v>
      </c>
      <c r="F489" s="63">
        <v>0.06</v>
      </c>
      <c r="G489" s="63">
        <v>0</v>
      </c>
      <c r="H489" s="63">
        <v>2.07E-2</v>
      </c>
      <c r="I489" s="63">
        <v>0.45540000000000003</v>
      </c>
      <c r="J489" s="96">
        <v>0.03</v>
      </c>
      <c r="K489" s="126"/>
      <c r="L489" s="785"/>
      <c r="M489" s="64"/>
      <c r="N489" s="144">
        <v>400</v>
      </c>
      <c r="O489" s="68">
        <f>SUM(N489*D489)/1000</f>
        <v>0.12</v>
      </c>
    </row>
    <row r="490" spans="1:15" x14ac:dyDescent="0.25">
      <c r="A490" s="782"/>
      <c r="B490" s="107" t="s">
        <v>49</v>
      </c>
      <c r="C490" s="107"/>
      <c r="D490" s="63">
        <v>10</v>
      </c>
      <c r="E490" s="63">
        <v>10</v>
      </c>
      <c r="F490" s="63">
        <v>0</v>
      </c>
      <c r="G490" s="63">
        <v>0</v>
      </c>
      <c r="H490" s="63">
        <v>9.98</v>
      </c>
      <c r="I490" s="63">
        <v>37.9</v>
      </c>
      <c r="J490" s="96">
        <v>0</v>
      </c>
      <c r="K490" s="126"/>
      <c r="L490" s="785"/>
      <c r="M490" s="64"/>
      <c r="N490" s="144">
        <v>50.7</v>
      </c>
      <c r="O490" s="68">
        <f>SUM(N490*D490)/1000</f>
        <v>0.50700000000000001</v>
      </c>
    </row>
    <row r="491" spans="1:15" x14ac:dyDescent="0.25">
      <c r="A491" s="782"/>
      <c r="B491" s="107" t="s">
        <v>19</v>
      </c>
      <c r="C491" s="107"/>
      <c r="D491" s="63">
        <v>150</v>
      </c>
      <c r="E491" s="63">
        <v>150</v>
      </c>
      <c r="F491" s="63">
        <v>0</v>
      </c>
      <c r="G491" s="63">
        <v>0</v>
      </c>
      <c r="H491" s="63">
        <v>0</v>
      </c>
      <c r="I491" s="63">
        <v>0</v>
      </c>
      <c r="J491" s="96">
        <v>0</v>
      </c>
      <c r="K491" s="126"/>
      <c r="L491" s="785"/>
      <c r="M491" s="64"/>
      <c r="N491" s="144">
        <v>0</v>
      </c>
      <c r="O491" s="68">
        <f>SUM(N491*D491)/1000</f>
        <v>0</v>
      </c>
    </row>
    <row r="492" spans="1:15" x14ac:dyDescent="0.25">
      <c r="A492" s="782"/>
      <c r="B492" s="107"/>
      <c r="C492" s="107"/>
      <c r="D492" s="63"/>
      <c r="E492" s="63"/>
      <c r="F492" s="118">
        <f>SUM(F487:F491)</f>
        <v>0.06</v>
      </c>
      <c r="G492" s="118">
        <f>SUM(G487:G491)</f>
        <v>0</v>
      </c>
      <c r="H492" s="267">
        <f>SUM(H487:H491)</f>
        <v>10.0007</v>
      </c>
      <c r="I492" s="267">
        <f>SUM(I487:I491)</f>
        <v>38.355399999999996</v>
      </c>
      <c r="J492" s="119">
        <f>SUM(J487:J491)</f>
        <v>0.03</v>
      </c>
      <c r="K492" s="156"/>
      <c r="L492" s="785"/>
      <c r="M492" s="64"/>
      <c r="N492" s="230"/>
      <c r="O492" s="72">
        <f>SUM(O487:O491)</f>
        <v>0.627</v>
      </c>
    </row>
    <row r="493" spans="1:15" ht="18" customHeight="1" x14ac:dyDescent="0.25">
      <c r="A493" s="782"/>
      <c r="B493" s="338" t="s">
        <v>353</v>
      </c>
      <c r="C493" s="363">
        <v>40</v>
      </c>
      <c r="D493" s="340"/>
      <c r="E493" s="409">
        <v>40</v>
      </c>
      <c r="F493" s="417">
        <f>7.5*E493/100</f>
        <v>3</v>
      </c>
      <c r="G493" s="417">
        <f>11.8*E493/100</f>
        <v>4.72</v>
      </c>
      <c r="H493" s="417">
        <f>74.9*E493/100</f>
        <v>29.96</v>
      </c>
      <c r="I493" s="418">
        <f>417.1*E493/100</f>
        <v>166.84</v>
      </c>
      <c r="J493" s="419">
        <v>0</v>
      </c>
      <c r="K493" s="480" t="s">
        <v>73</v>
      </c>
      <c r="L493" s="785"/>
      <c r="M493" s="64">
        <v>88</v>
      </c>
      <c r="N493" s="230"/>
      <c r="O493" s="294"/>
    </row>
    <row r="494" spans="1:15" x14ac:dyDescent="0.25">
      <c r="A494" s="783"/>
      <c r="B494" s="124" t="s">
        <v>46</v>
      </c>
      <c r="C494" s="232"/>
      <c r="D494" s="175"/>
      <c r="E494" s="100"/>
      <c r="F494" s="332">
        <f>SUM(F492,F493)</f>
        <v>3.06</v>
      </c>
      <c r="G494" s="332">
        <f t="shared" ref="G494:J494" si="47">SUM(G492,G493)</f>
        <v>4.72</v>
      </c>
      <c r="H494" s="332">
        <f t="shared" si="47"/>
        <v>39.960700000000003</v>
      </c>
      <c r="I494" s="332">
        <f t="shared" si="47"/>
        <v>205.19540000000001</v>
      </c>
      <c r="J494" s="332">
        <f t="shared" si="47"/>
        <v>0.03</v>
      </c>
      <c r="K494" s="156"/>
      <c r="L494" s="786"/>
      <c r="M494" s="69">
        <f>SUM(M486:M493)</f>
        <v>278</v>
      </c>
      <c r="N494" s="65"/>
      <c r="O494" s="332">
        <f>SUM(O492,O493)</f>
        <v>0.627</v>
      </c>
    </row>
    <row r="495" spans="1:15" ht="25.5" x14ac:dyDescent="0.25">
      <c r="A495" s="10" t="s">
        <v>138</v>
      </c>
      <c r="B495" s="146"/>
      <c r="C495" s="22"/>
      <c r="D495" s="23"/>
      <c r="E495" s="23"/>
      <c r="F495" s="326">
        <f>SUM(F449,F484,F494)</f>
        <v>35.893400000000007</v>
      </c>
      <c r="G495" s="326">
        <f>SUM(G449,G484,G494)</f>
        <v>37.461099999999995</v>
      </c>
      <c r="H495" s="326">
        <f>SUM(H449,H484,H494)</f>
        <v>213.28220000000002</v>
      </c>
      <c r="I495" s="326">
        <f>SUM(I449,I484,I494)</f>
        <v>1325.4518</v>
      </c>
      <c r="J495" s="326">
        <f>SUM(J449,J484,J494)</f>
        <v>56.042500000000004</v>
      </c>
      <c r="K495" s="30"/>
      <c r="L495" s="471"/>
      <c r="M495" s="31"/>
      <c r="N495" s="32"/>
      <c r="O495" s="326" t="e">
        <f>SUM(O449,O484,O494)</f>
        <v>#REF!</v>
      </c>
    </row>
    <row r="496" spans="1:15" x14ac:dyDescent="0.25">
      <c r="A496" s="5" t="s">
        <v>139</v>
      </c>
      <c r="B496" s="13"/>
      <c r="C496" s="13"/>
      <c r="D496" s="63"/>
      <c r="E496" s="63"/>
      <c r="F496" s="13"/>
      <c r="G496" s="13"/>
      <c r="H496" s="13"/>
      <c r="I496" s="13"/>
      <c r="J496" s="96"/>
      <c r="K496" s="125"/>
      <c r="L496" s="464"/>
      <c r="M496" s="64"/>
      <c r="N496" s="65"/>
      <c r="O496" s="64"/>
    </row>
    <row r="497" spans="1:15" x14ac:dyDescent="0.25">
      <c r="A497" s="5" t="s">
        <v>140</v>
      </c>
      <c r="B497" s="13"/>
      <c r="C497" s="4"/>
      <c r="D497" s="105"/>
      <c r="E497" s="106"/>
      <c r="F497" s="63"/>
      <c r="G497" s="63"/>
      <c r="H497" s="63"/>
      <c r="I497" s="63"/>
      <c r="J497" s="96"/>
      <c r="K497" s="155"/>
      <c r="L497" s="464"/>
      <c r="M497" s="64"/>
      <c r="N497" s="65"/>
      <c r="O497" s="64"/>
    </row>
    <row r="498" spans="1:15" ht="42.6" customHeight="1" x14ac:dyDescent="0.25">
      <c r="A498" s="781"/>
      <c r="B498" s="373" t="s">
        <v>253</v>
      </c>
      <c r="C498" s="339">
        <v>200</v>
      </c>
      <c r="D498" s="340"/>
      <c r="E498" s="340"/>
      <c r="F498" s="401">
        <f>F499+F500+F501+F502+F503</f>
        <v>8.5204000000000004</v>
      </c>
      <c r="G498" s="401">
        <f>G499+G500+G501+G502+G503</f>
        <v>5.5196000000000005</v>
      </c>
      <c r="H498" s="401">
        <f>H499+H500+H501+H502+H503</f>
        <v>44.833100000000002</v>
      </c>
      <c r="I498" s="401">
        <f>I499+I500+I501+I502+I503</f>
        <v>261.464</v>
      </c>
      <c r="J498" s="401">
        <f>J499+J500+J501+J502+J503</f>
        <v>1.7329000000000001</v>
      </c>
      <c r="K498" s="479" t="s">
        <v>255</v>
      </c>
      <c r="L498" s="784" t="s">
        <v>17</v>
      </c>
      <c r="M498" s="517">
        <v>180</v>
      </c>
      <c r="N498" s="112"/>
      <c r="O498" s="108"/>
    </row>
    <row r="499" spans="1:15" ht="18.75" customHeight="1" x14ac:dyDescent="0.25">
      <c r="A499" s="782"/>
      <c r="B499" s="374" t="s">
        <v>254</v>
      </c>
      <c r="C499" s="343"/>
      <c r="D499" s="340">
        <v>38</v>
      </c>
      <c r="E499" s="357">
        <v>38</v>
      </c>
      <c r="F499" s="340">
        <f>12.6*E499/100</f>
        <v>4.7880000000000003</v>
      </c>
      <c r="G499" s="340">
        <f>3.3*E499/100</f>
        <v>1.254</v>
      </c>
      <c r="H499" s="340">
        <f>62.1*E499/100</f>
        <v>23.598000000000003</v>
      </c>
      <c r="I499" s="345">
        <f>335*E499/100</f>
        <v>127.3</v>
      </c>
      <c r="J499" s="346">
        <v>0</v>
      </c>
      <c r="K499" s="480"/>
      <c r="L499" s="785"/>
      <c r="M499" s="112"/>
      <c r="N499" s="112">
        <v>65.069999999999993</v>
      </c>
      <c r="O499" s="108">
        <f>SUM(N499*D499)/1000</f>
        <v>2.4726599999999999</v>
      </c>
    </row>
    <row r="500" spans="1:15" ht="15.75" customHeight="1" x14ac:dyDescent="0.25">
      <c r="A500" s="782"/>
      <c r="B500" s="374" t="s">
        <v>228</v>
      </c>
      <c r="C500" s="343"/>
      <c r="D500" s="340">
        <v>133.30000000000001</v>
      </c>
      <c r="E500" s="357">
        <v>133.30000000000001</v>
      </c>
      <c r="F500" s="340">
        <f>2.8*E500/100</f>
        <v>3.7324000000000002</v>
      </c>
      <c r="G500" s="340">
        <f>3.2*E500/100</f>
        <v>4.2656000000000009</v>
      </c>
      <c r="H500" s="340">
        <f>4.7*E500/100</f>
        <v>6.2651000000000012</v>
      </c>
      <c r="I500" s="345">
        <f>58*E500/100</f>
        <v>77.314000000000007</v>
      </c>
      <c r="J500" s="346">
        <f>1.3*E500/100</f>
        <v>1.7329000000000001</v>
      </c>
      <c r="K500" s="480"/>
      <c r="L500" s="785"/>
      <c r="M500" s="112"/>
      <c r="N500" s="112">
        <v>376.98</v>
      </c>
      <c r="O500" s="108">
        <f>SUM(N500*D500)/1000</f>
        <v>50.25143400000001</v>
      </c>
    </row>
    <row r="501" spans="1:15" ht="17.25" customHeight="1" x14ac:dyDescent="0.25">
      <c r="A501" s="782"/>
      <c r="B501" s="374" t="s">
        <v>229</v>
      </c>
      <c r="C501" s="343"/>
      <c r="D501" s="340">
        <v>28.6</v>
      </c>
      <c r="E501" s="357">
        <v>28.6</v>
      </c>
      <c r="F501" s="340">
        <v>0</v>
      </c>
      <c r="G501" s="340">
        <v>0</v>
      </c>
      <c r="H501" s="340">
        <v>0</v>
      </c>
      <c r="I501" s="345">
        <v>0</v>
      </c>
      <c r="J501" s="346">
        <v>0</v>
      </c>
      <c r="K501" s="480"/>
      <c r="L501" s="785"/>
      <c r="M501" s="112"/>
      <c r="N501" s="112">
        <v>50.7</v>
      </c>
      <c r="O501" s="108">
        <f>SUM(N501*D501)/1000</f>
        <v>1.4500200000000003</v>
      </c>
    </row>
    <row r="502" spans="1:15" x14ac:dyDescent="0.25">
      <c r="A502" s="782"/>
      <c r="B502" s="353" t="s">
        <v>230</v>
      </c>
      <c r="C502" s="363"/>
      <c r="D502" s="340">
        <v>15</v>
      </c>
      <c r="E502" s="340">
        <v>15</v>
      </c>
      <c r="F502" s="340">
        <v>0</v>
      </c>
      <c r="G502" s="340">
        <v>0</v>
      </c>
      <c r="H502" s="340">
        <f>99.8*E502/100</f>
        <v>14.97</v>
      </c>
      <c r="I502" s="345">
        <f>379*E502/100</f>
        <v>56.85</v>
      </c>
      <c r="J502" s="346">
        <v>0</v>
      </c>
      <c r="K502" s="480"/>
      <c r="L502" s="785"/>
      <c r="M502" s="112"/>
      <c r="N502" s="112">
        <v>16.62</v>
      </c>
      <c r="O502" s="108">
        <f>SUM(N502*D502)/1000</f>
        <v>0.24930000000000002</v>
      </c>
    </row>
    <row r="503" spans="1:15" x14ac:dyDescent="0.25">
      <c r="A503" s="782"/>
      <c r="B503" s="342" t="s">
        <v>231</v>
      </c>
      <c r="C503" s="363"/>
      <c r="D503" s="340">
        <v>0.3</v>
      </c>
      <c r="E503" s="340">
        <v>0.3</v>
      </c>
      <c r="F503" s="340">
        <v>0</v>
      </c>
      <c r="G503" s="340">
        <v>0</v>
      </c>
      <c r="H503" s="340">
        <v>0</v>
      </c>
      <c r="I503" s="345">
        <v>0</v>
      </c>
      <c r="J503" s="346">
        <v>0</v>
      </c>
      <c r="K503" s="480"/>
      <c r="L503" s="785"/>
      <c r="M503" s="64"/>
      <c r="N503" s="185"/>
      <c r="O503" s="72">
        <f>SUM(O499:O502)</f>
        <v>54.423414000000008</v>
      </c>
    </row>
    <row r="504" spans="1:15" x14ac:dyDescent="0.25">
      <c r="A504" s="782"/>
      <c r="B504" s="397" t="s">
        <v>23</v>
      </c>
      <c r="C504" s="105">
        <v>40</v>
      </c>
      <c r="D504" s="13"/>
      <c r="E504" s="123"/>
      <c r="F504" s="110"/>
      <c r="G504" s="110"/>
      <c r="H504" s="110"/>
      <c r="I504" s="110"/>
      <c r="J504" s="97"/>
      <c r="K504" s="112" t="s">
        <v>24</v>
      </c>
      <c r="L504" s="785"/>
      <c r="M504" s="64">
        <v>50</v>
      </c>
      <c r="N504" s="185"/>
      <c r="O504" s="68"/>
    </row>
    <row r="505" spans="1:15" x14ac:dyDescent="0.25">
      <c r="A505" s="782"/>
      <c r="B505" s="107" t="s">
        <v>21</v>
      </c>
      <c r="C505" s="194"/>
      <c r="D505" s="63">
        <v>10</v>
      </c>
      <c r="E505" s="63">
        <v>10</v>
      </c>
      <c r="F505" s="63">
        <v>0.08</v>
      </c>
      <c r="G505" s="63">
        <v>7.25</v>
      </c>
      <c r="H505" s="63">
        <v>0.13</v>
      </c>
      <c r="I505" s="63">
        <v>66.099999999999994</v>
      </c>
      <c r="J505" s="231">
        <v>0</v>
      </c>
      <c r="K505" s="112"/>
      <c r="L505" s="785"/>
      <c r="M505" s="64"/>
      <c r="N505" s="185">
        <v>50</v>
      </c>
      <c r="O505" s="68">
        <f>SUM(N505*D505)/1000</f>
        <v>0.5</v>
      </c>
    </row>
    <row r="506" spans="1:15" x14ac:dyDescent="0.25">
      <c r="A506" s="782"/>
      <c r="B506" s="107" t="s">
        <v>106</v>
      </c>
      <c r="C506" s="194"/>
      <c r="D506" s="63">
        <v>30</v>
      </c>
      <c r="E506" s="63">
        <v>30</v>
      </c>
      <c r="F506" s="63">
        <v>2.31</v>
      </c>
      <c r="G506" s="63">
        <v>0.9</v>
      </c>
      <c r="H506" s="63">
        <v>14.94</v>
      </c>
      <c r="I506" s="63">
        <v>78.599999999999994</v>
      </c>
      <c r="J506" s="231">
        <v>0</v>
      </c>
      <c r="K506" s="112"/>
      <c r="L506" s="785"/>
      <c r="M506" s="64"/>
      <c r="N506" s="185">
        <v>110</v>
      </c>
      <c r="O506" s="68">
        <f>SUM(N506*D506)/1000</f>
        <v>3.3</v>
      </c>
    </row>
    <row r="507" spans="1:15" x14ac:dyDescent="0.25">
      <c r="A507" s="782"/>
      <c r="B507" s="107"/>
      <c r="C507" s="107"/>
      <c r="D507" s="63"/>
      <c r="E507" s="63"/>
      <c r="F507" s="118">
        <f>SUM(F505:F506)</f>
        <v>2.39</v>
      </c>
      <c r="G507" s="118">
        <f t="shared" ref="G507:J507" si="48">SUM(G505:G506)</f>
        <v>8.15</v>
      </c>
      <c r="H507" s="118">
        <f t="shared" si="48"/>
        <v>15.07</v>
      </c>
      <c r="I507" s="118">
        <f t="shared" si="48"/>
        <v>144.69999999999999</v>
      </c>
      <c r="J507" s="118">
        <f t="shared" si="48"/>
        <v>0</v>
      </c>
      <c r="K507" s="153"/>
      <c r="L507" s="785"/>
      <c r="M507" s="64"/>
      <c r="N507" s="185"/>
      <c r="O507" s="72">
        <f>SUM(O505:O506)</f>
        <v>3.8</v>
      </c>
    </row>
    <row r="508" spans="1:15" x14ac:dyDescent="0.25">
      <c r="A508" s="782"/>
      <c r="B508" s="291" t="s">
        <v>72</v>
      </c>
      <c r="C508" s="105" t="s">
        <v>187</v>
      </c>
      <c r="D508" s="13"/>
      <c r="E508" s="13"/>
      <c r="F508" s="13"/>
      <c r="G508" s="13"/>
      <c r="H508" s="13"/>
      <c r="I508" s="13"/>
      <c r="J508" s="96"/>
      <c r="K508" s="125" t="s">
        <v>188</v>
      </c>
      <c r="L508" s="785"/>
      <c r="M508" s="64">
        <v>190</v>
      </c>
      <c r="N508" s="65"/>
      <c r="O508" s="68"/>
    </row>
    <row r="509" spans="1:15" x14ac:dyDescent="0.25">
      <c r="A509" s="782"/>
      <c r="B509" s="291" t="s">
        <v>184</v>
      </c>
      <c r="C509" s="124"/>
      <c r="D509" s="13">
        <v>30</v>
      </c>
      <c r="E509" s="13">
        <v>30</v>
      </c>
      <c r="F509" s="13"/>
      <c r="G509" s="13"/>
      <c r="H509" s="13"/>
      <c r="I509" s="13"/>
      <c r="J509" s="96"/>
      <c r="K509" s="125"/>
      <c r="L509" s="785"/>
      <c r="M509" s="64"/>
      <c r="N509" s="88"/>
      <c r="O509" s="68"/>
    </row>
    <row r="510" spans="1:15" x14ac:dyDescent="0.25">
      <c r="A510" s="782"/>
      <c r="B510" s="107" t="s">
        <v>120</v>
      </c>
      <c r="C510" s="124"/>
      <c r="D510" s="63">
        <v>32.4</v>
      </c>
      <c r="E510" s="63">
        <v>32.4</v>
      </c>
      <c r="F510" s="63">
        <v>0</v>
      </c>
      <c r="G510" s="63">
        <v>0</v>
      </c>
      <c r="H510" s="63">
        <v>0</v>
      </c>
      <c r="I510" s="63">
        <v>0</v>
      </c>
      <c r="J510" s="96">
        <v>0</v>
      </c>
      <c r="K510" s="125"/>
      <c r="L510" s="785"/>
      <c r="M510" s="64"/>
      <c r="N510" s="88"/>
      <c r="O510" s="68"/>
    </row>
    <row r="511" spans="1:15" x14ac:dyDescent="0.25">
      <c r="A511" s="782"/>
      <c r="B511" s="107" t="s">
        <v>185</v>
      </c>
      <c r="C511" s="107"/>
      <c r="D511" s="63">
        <v>0.3</v>
      </c>
      <c r="E511" s="63">
        <v>0.3</v>
      </c>
      <c r="F511" s="63">
        <v>0.06</v>
      </c>
      <c r="G511" s="63">
        <v>0</v>
      </c>
      <c r="H511" s="63">
        <v>2.07E-2</v>
      </c>
      <c r="I511" s="63">
        <v>0.45540000000000003</v>
      </c>
      <c r="J511" s="96">
        <v>0.03</v>
      </c>
      <c r="K511" s="126"/>
      <c r="L511" s="785"/>
      <c r="M511" s="64"/>
      <c r="N511" s="114">
        <v>400</v>
      </c>
      <c r="O511" s="68">
        <f>SUM(N511*D511)/1000</f>
        <v>0.12</v>
      </c>
    </row>
    <row r="512" spans="1:15" x14ac:dyDescent="0.25">
      <c r="A512" s="782"/>
      <c r="B512" s="107" t="s">
        <v>49</v>
      </c>
      <c r="C512" s="107"/>
      <c r="D512" s="63">
        <v>10</v>
      </c>
      <c r="E512" s="63">
        <v>10</v>
      </c>
      <c r="F512" s="63">
        <v>0</v>
      </c>
      <c r="G512" s="63">
        <v>0</v>
      </c>
      <c r="H512" s="63">
        <v>9.98</v>
      </c>
      <c r="I512" s="63">
        <v>37.9</v>
      </c>
      <c r="J512" s="96">
        <v>0</v>
      </c>
      <c r="K512" s="126"/>
      <c r="L512" s="785"/>
      <c r="M512" s="64"/>
      <c r="N512" s="114">
        <v>50.7</v>
      </c>
      <c r="O512" s="68">
        <f>SUM(N512*D512)/1000</f>
        <v>0.50700000000000001</v>
      </c>
    </row>
    <row r="513" spans="1:15" x14ac:dyDescent="0.25">
      <c r="A513" s="782"/>
      <c r="B513" s="107" t="s">
        <v>19</v>
      </c>
      <c r="C513" s="107"/>
      <c r="D513" s="63">
        <v>150</v>
      </c>
      <c r="E513" s="63">
        <v>150</v>
      </c>
      <c r="F513" s="63">
        <v>0</v>
      </c>
      <c r="G513" s="63">
        <v>0</v>
      </c>
      <c r="H513" s="63">
        <v>0</v>
      </c>
      <c r="I513" s="63">
        <v>0</v>
      </c>
      <c r="J513" s="96">
        <v>0</v>
      </c>
      <c r="K513" s="126"/>
      <c r="L513" s="785"/>
      <c r="M513" s="64"/>
      <c r="N513" s="114">
        <v>0</v>
      </c>
      <c r="O513" s="68">
        <f>SUM(N513*D513)/1000</f>
        <v>0</v>
      </c>
    </row>
    <row r="514" spans="1:15" x14ac:dyDescent="0.25">
      <c r="A514" s="783"/>
      <c r="B514" s="107"/>
      <c r="C514" s="107"/>
      <c r="D514" s="63"/>
      <c r="E514" s="63"/>
      <c r="F514" s="274">
        <f>SUM(F509:F513)</f>
        <v>0.06</v>
      </c>
      <c r="G514" s="274">
        <f>SUM(G509:G513)</f>
        <v>0</v>
      </c>
      <c r="H514" s="274">
        <f>SUM(H509:H513)</f>
        <v>10.0007</v>
      </c>
      <c r="I514" s="274">
        <f>SUM(I509:I513)</f>
        <v>38.355399999999996</v>
      </c>
      <c r="J514" s="274">
        <f>SUM(J509:J513)</f>
        <v>0.03</v>
      </c>
      <c r="K514" s="153"/>
      <c r="L514" s="785"/>
      <c r="M514" s="64"/>
      <c r="N514" s="185"/>
      <c r="O514" s="72">
        <f>SUM(O509:O513)</f>
        <v>0.627</v>
      </c>
    </row>
    <row r="515" spans="1:15" hidden="1" x14ac:dyDescent="0.25">
      <c r="A515" s="781" t="s">
        <v>208</v>
      </c>
      <c r="B515" s="124"/>
      <c r="C515" s="124"/>
      <c r="D515" s="63"/>
      <c r="E515" s="63"/>
      <c r="F515" s="130"/>
      <c r="G515" s="130"/>
      <c r="H515" s="130"/>
      <c r="I515" s="130"/>
      <c r="J515" s="131"/>
      <c r="K515" s="162"/>
      <c r="L515" s="785"/>
      <c r="M515" s="64"/>
      <c r="N515" s="65"/>
      <c r="O515" s="67"/>
    </row>
    <row r="516" spans="1:15" x14ac:dyDescent="0.25">
      <c r="A516" s="782"/>
      <c r="B516" s="350" t="s">
        <v>338</v>
      </c>
      <c r="C516" s="339">
        <v>100</v>
      </c>
      <c r="D516" s="340">
        <v>100</v>
      </c>
      <c r="E516" s="340">
        <v>100</v>
      </c>
      <c r="F516" s="417">
        <v>0.4</v>
      </c>
      <c r="G516" s="417">
        <v>0.4</v>
      </c>
      <c r="H516" s="417">
        <v>9.8000000000000007</v>
      </c>
      <c r="I516" s="418">
        <v>47</v>
      </c>
      <c r="J516" s="419">
        <v>10</v>
      </c>
      <c r="K516" s="156" t="s">
        <v>73</v>
      </c>
      <c r="L516" s="785"/>
      <c r="M516" s="64">
        <v>100</v>
      </c>
      <c r="N516" s="65">
        <v>55.58</v>
      </c>
      <c r="O516" s="72">
        <f>SUM(D516*N516)/1000</f>
        <v>5.5579999999999998</v>
      </c>
    </row>
    <row r="517" spans="1:15" x14ac:dyDescent="0.25">
      <c r="A517" s="783"/>
      <c r="B517" s="124" t="s">
        <v>57</v>
      </c>
      <c r="C517" s="133"/>
      <c r="D517" s="63"/>
      <c r="E517" s="63"/>
      <c r="F517" s="282">
        <f>SUM(F498,F507,F514:F516)</f>
        <v>11.370400000000002</v>
      </c>
      <c r="G517" s="282">
        <f t="shared" ref="G517:J517" si="49">SUM(G498,G507,G514:G516)</f>
        <v>14.069600000000001</v>
      </c>
      <c r="H517" s="282">
        <f t="shared" si="49"/>
        <v>79.703800000000001</v>
      </c>
      <c r="I517" s="282">
        <f t="shared" si="49"/>
        <v>491.51939999999996</v>
      </c>
      <c r="J517" s="282">
        <f t="shared" si="49"/>
        <v>11.7629</v>
      </c>
      <c r="K517" s="162"/>
      <c r="L517" s="786"/>
      <c r="M517" s="69">
        <f>SUM(M498:M516)</f>
        <v>520</v>
      </c>
      <c r="N517" s="65"/>
      <c r="O517" s="282">
        <f>SUM(O498,O507,O514:O516)</f>
        <v>9.9849999999999994</v>
      </c>
    </row>
    <row r="518" spans="1:15" x14ac:dyDescent="0.25">
      <c r="A518" s="456" t="s">
        <v>142</v>
      </c>
      <c r="B518" s="13"/>
      <c r="C518" s="4"/>
      <c r="D518" s="105"/>
      <c r="E518" s="106"/>
      <c r="F518" s="63"/>
      <c r="G518" s="63"/>
      <c r="H518" s="63"/>
      <c r="I518" s="63"/>
      <c r="J518" s="96"/>
      <c r="K518" s="126"/>
      <c r="L518" s="464"/>
      <c r="M518" s="64"/>
      <c r="N518" s="65"/>
      <c r="O518" s="64"/>
    </row>
    <row r="519" spans="1:15" ht="30" x14ac:dyDescent="0.25">
      <c r="A519" s="497"/>
      <c r="B519" s="438" t="s">
        <v>108</v>
      </c>
      <c r="C519" s="140">
        <v>200</v>
      </c>
      <c r="D519" s="154"/>
      <c r="E519" s="154"/>
      <c r="F519" s="13"/>
      <c r="G519" s="13"/>
      <c r="H519" s="13"/>
      <c r="I519" s="13"/>
      <c r="J519" s="96"/>
      <c r="K519" s="125" t="s">
        <v>109</v>
      </c>
      <c r="L519" s="495"/>
      <c r="M519" s="64">
        <v>200</v>
      </c>
      <c r="N519" s="65"/>
      <c r="O519" s="64"/>
    </row>
    <row r="520" spans="1:15" x14ac:dyDescent="0.25">
      <c r="A520" s="497"/>
      <c r="B520" s="428" t="s">
        <v>36</v>
      </c>
      <c r="C520" s="96"/>
      <c r="D520" s="63">
        <v>53.4</v>
      </c>
      <c r="E520" s="63">
        <v>40</v>
      </c>
      <c r="F520" s="102">
        <v>0.8</v>
      </c>
      <c r="G520" s="63">
        <v>0.16</v>
      </c>
      <c r="H520" s="63">
        <v>6.52</v>
      </c>
      <c r="I520" s="63">
        <v>30.8</v>
      </c>
      <c r="J520" s="96">
        <v>8</v>
      </c>
      <c r="K520" s="152"/>
      <c r="L520" s="496"/>
      <c r="M520" s="70"/>
      <c r="N520" s="135">
        <v>21.89</v>
      </c>
      <c r="O520" s="68">
        <f>SUM(N520*D520)/1000</f>
        <v>1.1689259999999999</v>
      </c>
    </row>
    <row r="521" spans="1:15" x14ac:dyDescent="0.25">
      <c r="A521" s="497"/>
      <c r="B521" s="428" t="s">
        <v>59</v>
      </c>
      <c r="C521" s="96"/>
      <c r="D521" s="63">
        <v>10</v>
      </c>
      <c r="E521" s="63">
        <v>8</v>
      </c>
      <c r="F521" s="63">
        <v>0.104</v>
      </c>
      <c r="G521" s="63">
        <v>8.0000000000000002E-3</v>
      </c>
      <c r="H521" s="63">
        <v>0.55200000000000005</v>
      </c>
      <c r="I521" s="63">
        <v>2.8</v>
      </c>
      <c r="J521" s="96">
        <v>0.4</v>
      </c>
      <c r="K521" s="152"/>
      <c r="L521" s="496"/>
      <c r="M521" s="64"/>
      <c r="N521" s="114">
        <v>38.5</v>
      </c>
      <c r="O521" s="68">
        <f>SUM(N521*D521)/1000</f>
        <v>0.38500000000000001</v>
      </c>
    </row>
    <row r="522" spans="1:15" x14ac:dyDescent="0.25">
      <c r="A522" s="497"/>
      <c r="B522" s="428" t="s">
        <v>32</v>
      </c>
      <c r="C522" s="96"/>
      <c r="D522" s="63">
        <v>9.6</v>
      </c>
      <c r="E522" s="63">
        <v>8</v>
      </c>
      <c r="F522" s="63">
        <v>0.112</v>
      </c>
      <c r="G522" s="63">
        <v>1.6E-2</v>
      </c>
      <c r="H522" s="63">
        <v>0.65600000000000003</v>
      </c>
      <c r="I522" s="63">
        <v>0.28000000000000003</v>
      </c>
      <c r="J522" s="96">
        <v>0.8</v>
      </c>
      <c r="K522" s="152"/>
      <c r="L522" s="496"/>
      <c r="M522" s="64"/>
      <c r="N522" s="114">
        <v>21.98</v>
      </c>
      <c r="O522" s="68">
        <f>SUM(N522*D522)/1000</f>
        <v>0.211008</v>
      </c>
    </row>
    <row r="523" spans="1:15" x14ac:dyDescent="0.25">
      <c r="A523" s="497"/>
      <c r="B523" s="428" t="s">
        <v>37</v>
      </c>
      <c r="C523" s="96"/>
      <c r="D523" s="63">
        <v>2</v>
      </c>
      <c r="E523" s="63">
        <v>2</v>
      </c>
      <c r="F523" s="102">
        <v>0</v>
      </c>
      <c r="G523" s="63">
        <v>1.998</v>
      </c>
      <c r="H523" s="63">
        <v>0</v>
      </c>
      <c r="I523" s="63">
        <v>17.98</v>
      </c>
      <c r="J523" s="96">
        <v>0</v>
      </c>
      <c r="K523" s="152"/>
      <c r="L523" s="496"/>
      <c r="M523" s="64"/>
      <c r="N523" s="114">
        <v>92.2</v>
      </c>
      <c r="O523" s="68">
        <f>SUM(N523*D523)/1000</f>
        <v>0.18440000000000001</v>
      </c>
    </row>
    <row r="524" spans="1:15" x14ac:dyDescent="0.25">
      <c r="A524" s="497"/>
      <c r="B524" s="433" t="s">
        <v>110</v>
      </c>
      <c r="C524" s="133"/>
      <c r="D524" s="13" t="s">
        <v>35</v>
      </c>
      <c r="E524" s="13">
        <v>52</v>
      </c>
      <c r="F524" s="102">
        <v>0</v>
      </c>
      <c r="G524" s="63">
        <v>0</v>
      </c>
      <c r="H524" s="63">
        <v>0</v>
      </c>
      <c r="I524" s="63">
        <v>0</v>
      </c>
      <c r="J524" s="96">
        <v>0</v>
      </c>
      <c r="K524" s="152"/>
      <c r="L524" s="496"/>
      <c r="M524" s="64"/>
      <c r="N524" s="114">
        <v>0</v>
      </c>
      <c r="O524" s="68"/>
    </row>
    <row r="525" spans="1:15" x14ac:dyDescent="0.25">
      <c r="A525" s="497"/>
      <c r="B525" s="428" t="s">
        <v>33</v>
      </c>
      <c r="C525" s="96"/>
      <c r="D525" s="63">
        <v>16</v>
      </c>
      <c r="E525" s="63">
        <v>16</v>
      </c>
      <c r="F525" s="102">
        <v>1.6479999999999999</v>
      </c>
      <c r="G525" s="63">
        <v>0.17599999999999999</v>
      </c>
      <c r="H525" s="63">
        <v>11.04</v>
      </c>
      <c r="I525" s="63">
        <v>53.44</v>
      </c>
      <c r="J525" s="96">
        <v>0</v>
      </c>
      <c r="K525" s="152"/>
      <c r="L525" s="496"/>
      <c r="M525" s="64"/>
      <c r="N525" s="114">
        <v>27.17</v>
      </c>
      <c r="O525" s="68">
        <f>SUM(N525*D525)/1000</f>
        <v>0.43472000000000005</v>
      </c>
    </row>
    <row r="526" spans="1:15" x14ac:dyDescent="0.25">
      <c r="A526" s="497"/>
      <c r="B526" s="428" t="s">
        <v>21</v>
      </c>
      <c r="C526" s="96"/>
      <c r="D526" s="63">
        <v>1.7</v>
      </c>
      <c r="E526" s="63">
        <v>1.7</v>
      </c>
      <c r="F526" s="102">
        <v>1.3599999999999999E-2</v>
      </c>
      <c r="G526" s="63">
        <v>1.232</v>
      </c>
      <c r="H526" s="63">
        <v>2.2100000000000002E-2</v>
      </c>
      <c r="I526" s="63">
        <v>11.237</v>
      </c>
      <c r="J526" s="96">
        <v>0</v>
      </c>
      <c r="K526" s="152"/>
      <c r="L526" s="496"/>
      <c r="M526" s="64"/>
      <c r="N526" s="114">
        <v>376.98</v>
      </c>
      <c r="O526" s="68">
        <f>SUM(N526*D526)/1000</f>
        <v>0.64086599999999994</v>
      </c>
    </row>
    <row r="527" spans="1:15" x14ac:dyDescent="0.25">
      <c r="A527" s="497"/>
      <c r="B527" s="428" t="s">
        <v>34</v>
      </c>
      <c r="C527" s="96"/>
      <c r="D527" s="63">
        <v>4.5</v>
      </c>
      <c r="E527" s="63" t="s">
        <v>215</v>
      </c>
      <c r="F527" s="102">
        <v>0.72299999999999998</v>
      </c>
      <c r="G527" s="63">
        <v>0.65500000000000003</v>
      </c>
      <c r="H527" s="63">
        <v>3.9899999999999998E-2</v>
      </c>
      <c r="I527" s="63">
        <v>8.9489999999999998</v>
      </c>
      <c r="J527" s="96">
        <v>0</v>
      </c>
      <c r="K527" s="152"/>
      <c r="L527" s="496"/>
      <c r="M527" s="64"/>
      <c r="N527" s="114">
        <v>4.6989999999999998</v>
      </c>
      <c r="O527" s="68">
        <f>SUM(N527*D527)/40</f>
        <v>0.52863749999999998</v>
      </c>
    </row>
    <row r="528" spans="1:15" x14ac:dyDescent="0.25">
      <c r="A528" s="497"/>
      <c r="B528" s="428" t="s">
        <v>111</v>
      </c>
      <c r="C528" s="96"/>
      <c r="D528" s="63">
        <v>25.1</v>
      </c>
      <c r="E528" s="63">
        <v>25.1</v>
      </c>
      <c r="F528" s="173">
        <v>0</v>
      </c>
      <c r="G528" s="107">
        <v>0</v>
      </c>
      <c r="H528" s="107">
        <v>0</v>
      </c>
      <c r="I528" s="107">
        <v>0</v>
      </c>
      <c r="J528" s="96">
        <v>0</v>
      </c>
      <c r="K528" s="152"/>
      <c r="L528" s="496"/>
      <c r="M528" s="64"/>
      <c r="N528" s="114">
        <v>43.22</v>
      </c>
      <c r="O528" s="68">
        <f>SUM(N528*D528)/1000</f>
        <v>1.0848220000000002</v>
      </c>
    </row>
    <row r="529" spans="1:15" x14ac:dyDescent="0.25">
      <c r="A529" s="497"/>
      <c r="B529" s="434" t="s">
        <v>96</v>
      </c>
      <c r="C529" s="96"/>
      <c r="D529" s="63" t="s">
        <v>35</v>
      </c>
      <c r="E529" s="63">
        <v>46.8</v>
      </c>
      <c r="F529" s="157">
        <v>0</v>
      </c>
      <c r="G529" s="157">
        <v>0</v>
      </c>
      <c r="H529" s="157">
        <v>0</v>
      </c>
      <c r="I529" s="157">
        <v>0</v>
      </c>
      <c r="J529" s="157">
        <v>0</v>
      </c>
      <c r="K529" s="174"/>
      <c r="L529" s="496"/>
      <c r="M529" s="64"/>
      <c r="N529" s="114">
        <v>0</v>
      </c>
      <c r="O529" s="68"/>
    </row>
    <row r="530" spans="1:15" x14ac:dyDescent="0.25">
      <c r="A530" s="497"/>
      <c r="B530" s="428" t="s">
        <v>112</v>
      </c>
      <c r="C530" s="96"/>
      <c r="D530" s="63">
        <v>1.2</v>
      </c>
      <c r="E530" s="63">
        <v>1.2</v>
      </c>
      <c r="F530" s="157">
        <v>0</v>
      </c>
      <c r="G530" s="157">
        <v>0</v>
      </c>
      <c r="H530" s="157">
        <v>0</v>
      </c>
      <c r="I530" s="157">
        <v>0</v>
      </c>
      <c r="J530" s="157">
        <v>0</v>
      </c>
      <c r="K530" s="174"/>
      <c r="L530" s="496"/>
      <c r="M530" s="64"/>
      <c r="N530" s="114">
        <v>16.62</v>
      </c>
      <c r="O530" s="68">
        <f>SUM(N530*D530)/1000</f>
        <v>1.9944E-2</v>
      </c>
    </row>
    <row r="531" spans="1:15" x14ac:dyDescent="0.25">
      <c r="A531" s="497"/>
      <c r="B531" s="428" t="s">
        <v>19</v>
      </c>
      <c r="C531" s="96"/>
      <c r="D531" s="63">
        <v>150</v>
      </c>
      <c r="E531" s="63">
        <v>150</v>
      </c>
      <c r="F531" s="202">
        <v>0</v>
      </c>
      <c r="G531" s="157">
        <v>0</v>
      </c>
      <c r="H531" s="157">
        <v>0</v>
      </c>
      <c r="I531" s="157">
        <v>0</v>
      </c>
      <c r="J531" s="53">
        <v>0</v>
      </c>
      <c r="K531" s="174"/>
      <c r="L531" s="496"/>
      <c r="M531" s="64"/>
      <c r="N531" s="114">
        <v>0</v>
      </c>
      <c r="O531" s="68">
        <f>SUM(N531*D531)/1000</f>
        <v>0</v>
      </c>
    </row>
    <row r="532" spans="1:15" x14ac:dyDescent="0.25">
      <c r="A532" s="497"/>
      <c r="B532" s="124"/>
      <c r="C532" s="124"/>
      <c r="D532" s="13"/>
      <c r="E532" s="13"/>
      <c r="F532" s="118">
        <f>SUM(F520:F531)</f>
        <v>3.4005999999999994</v>
      </c>
      <c r="G532" s="118">
        <f>SUM(G520:G531)</f>
        <v>4.2450000000000001</v>
      </c>
      <c r="H532" s="118">
        <f>SUM(H520:H531)</f>
        <v>18.829999999999995</v>
      </c>
      <c r="I532" s="118">
        <f>SUM(I520:I531)</f>
        <v>125.48599999999999</v>
      </c>
      <c r="J532" s="119">
        <f>SUM(J520:J531)</f>
        <v>9.2000000000000011</v>
      </c>
      <c r="K532" s="156"/>
      <c r="L532" s="496"/>
      <c r="M532" s="64"/>
      <c r="N532" s="65"/>
      <c r="O532" s="72">
        <f>SUM(O520:O531)</f>
        <v>4.6583234999999998</v>
      </c>
    </row>
    <row r="533" spans="1:15" ht="32.25" customHeight="1" x14ac:dyDescent="0.25">
      <c r="A533" s="782"/>
      <c r="B533" s="338" t="s">
        <v>284</v>
      </c>
      <c r="C533" s="363">
        <v>60</v>
      </c>
      <c r="D533" s="340"/>
      <c r="E533" s="340"/>
      <c r="F533" s="401">
        <f>F534+F535+F536+F537+F538+F539+F540+F541</f>
        <v>8.280800000000001</v>
      </c>
      <c r="G533" s="401">
        <f>G534+G535+G536+G537+G538+G539+G540+G541</f>
        <v>16.053799999999999</v>
      </c>
      <c r="H533" s="401">
        <f>H534+H535+H536+H537+H538+H539+H540+H541</f>
        <v>7.1430999999999996</v>
      </c>
      <c r="I533" s="401">
        <f>I534+I535+I536+I537+I538+I539+I540+I541</f>
        <v>207</v>
      </c>
      <c r="J533" s="401">
        <f>J534+J535+J536+J537+J538+J539+J540+J541</f>
        <v>0.76400000000000001</v>
      </c>
      <c r="K533" s="483" t="s">
        <v>317</v>
      </c>
      <c r="L533" s="472"/>
      <c r="M533" s="64">
        <v>77</v>
      </c>
      <c r="N533" s="65"/>
      <c r="O533" s="64"/>
    </row>
    <row r="534" spans="1:15" x14ac:dyDescent="0.25">
      <c r="A534" s="782"/>
      <c r="B534" s="342" t="s">
        <v>260</v>
      </c>
      <c r="C534" s="363"/>
      <c r="D534" s="340">
        <v>92.7</v>
      </c>
      <c r="E534" s="340">
        <v>38.200000000000003</v>
      </c>
      <c r="F534" s="340">
        <f>18.7*E534/100</f>
        <v>7.1434000000000006</v>
      </c>
      <c r="G534" s="340">
        <f>16.1*E534/100</f>
        <v>6.1502000000000008</v>
      </c>
      <c r="H534" s="340">
        <v>0</v>
      </c>
      <c r="I534" s="345">
        <f>220*E534/100</f>
        <v>84.04</v>
      </c>
      <c r="J534" s="346">
        <f>2*E534/100</f>
        <v>0.76400000000000001</v>
      </c>
      <c r="K534" s="480"/>
      <c r="L534" s="472"/>
      <c r="M534" s="64"/>
      <c r="N534" s="114">
        <v>230</v>
      </c>
      <c r="O534" s="68">
        <f>SUM(N534*D534)/1000</f>
        <v>21.321000000000002</v>
      </c>
    </row>
    <row r="535" spans="1:15" x14ac:dyDescent="0.25">
      <c r="A535" s="782"/>
      <c r="B535" s="406" t="s">
        <v>285</v>
      </c>
      <c r="C535" s="339"/>
      <c r="D535" s="340">
        <v>8.6999999999999993</v>
      </c>
      <c r="E535" s="340">
        <v>8.6999999999999993</v>
      </c>
      <c r="F535" s="340">
        <f>7.7*E535/100</f>
        <v>0.66989999999999994</v>
      </c>
      <c r="G535" s="340">
        <f>3*E535/100</f>
        <v>0.26099999999999995</v>
      </c>
      <c r="H535" s="340">
        <f>49.8*E535/100</f>
        <v>4.3325999999999993</v>
      </c>
      <c r="I535" s="345">
        <f>262*E535/100</f>
        <v>22.793999999999997</v>
      </c>
      <c r="J535" s="346">
        <v>0</v>
      </c>
      <c r="K535" s="480"/>
      <c r="L535" s="472"/>
      <c r="M535" s="64"/>
      <c r="N535" s="114">
        <v>21.98</v>
      </c>
      <c r="O535" s="68">
        <f>SUM(N535*D535)/1000</f>
        <v>0.19122600000000001</v>
      </c>
    </row>
    <row r="536" spans="1:15" x14ac:dyDescent="0.25">
      <c r="A536" s="782"/>
      <c r="B536" s="406" t="s">
        <v>229</v>
      </c>
      <c r="C536" s="354"/>
      <c r="D536" s="340">
        <v>13.1</v>
      </c>
      <c r="E536" s="340">
        <v>13.1</v>
      </c>
      <c r="F536" s="340">
        <v>0</v>
      </c>
      <c r="G536" s="340">
        <v>0</v>
      </c>
      <c r="H536" s="340">
        <v>0</v>
      </c>
      <c r="I536" s="345">
        <v>0</v>
      </c>
      <c r="J536" s="346">
        <v>0</v>
      </c>
      <c r="K536" s="480"/>
      <c r="L536" s="472"/>
      <c r="M536" s="64"/>
      <c r="N536" s="114">
        <v>43.22</v>
      </c>
      <c r="O536" s="68">
        <f>SUM(N536*D536)/1000</f>
        <v>0.56618199999999996</v>
      </c>
    </row>
    <row r="537" spans="1:15" x14ac:dyDescent="0.25">
      <c r="A537" s="782"/>
      <c r="B537" s="406" t="s">
        <v>278</v>
      </c>
      <c r="C537" s="354"/>
      <c r="D537" s="340">
        <v>5.5</v>
      </c>
      <c r="E537" s="340">
        <v>5.5</v>
      </c>
      <c r="F537" s="340">
        <f>7.7*E537/100</f>
        <v>0.42349999999999999</v>
      </c>
      <c r="G537" s="340">
        <f>3*E537/100</f>
        <v>0.16500000000000001</v>
      </c>
      <c r="H537" s="340">
        <f>49.8*E537/100</f>
        <v>2.7389999999999999</v>
      </c>
      <c r="I537" s="345">
        <f>262*E537/100</f>
        <v>14.41</v>
      </c>
      <c r="J537" s="346">
        <v>0</v>
      </c>
      <c r="K537" s="480"/>
      <c r="L537" s="472"/>
      <c r="M537" s="64"/>
      <c r="N537" s="114">
        <v>4.6989999999999998</v>
      </c>
      <c r="O537" s="68">
        <f>SUM(N537*D537)/40</f>
        <v>0.64611249999999998</v>
      </c>
    </row>
    <row r="538" spans="1:15" x14ac:dyDescent="0.25">
      <c r="A538" s="782"/>
      <c r="B538" s="406" t="s">
        <v>286</v>
      </c>
      <c r="C538" s="354"/>
      <c r="D538" s="340">
        <v>2.2000000000000002</v>
      </c>
      <c r="E538" s="340">
        <v>2.2000000000000002</v>
      </c>
      <c r="F538" s="340">
        <v>0</v>
      </c>
      <c r="G538" s="340">
        <f>99.7*E538/100</f>
        <v>2.1934000000000005</v>
      </c>
      <c r="H538" s="340">
        <v>0</v>
      </c>
      <c r="I538" s="345">
        <f>897*E538/100</f>
        <v>19.734000000000002</v>
      </c>
      <c r="J538" s="346">
        <v>0</v>
      </c>
      <c r="K538" s="480"/>
      <c r="L538" s="472"/>
      <c r="M538" s="64"/>
      <c r="N538" s="185">
        <v>60.5</v>
      </c>
      <c r="O538" s="68">
        <f>SUM(N538*D538)/1000</f>
        <v>0.13310000000000002</v>
      </c>
    </row>
    <row r="539" spans="1:15" x14ac:dyDescent="0.25">
      <c r="A539" s="782"/>
      <c r="B539" s="406" t="s">
        <v>231</v>
      </c>
      <c r="C539" s="354"/>
      <c r="D539" s="340">
        <v>1.4</v>
      </c>
      <c r="E539" s="340">
        <v>1.4</v>
      </c>
      <c r="F539" s="340">
        <v>0</v>
      </c>
      <c r="G539" s="340">
        <v>0</v>
      </c>
      <c r="H539" s="340">
        <v>0</v>
      </c>
      <c r="I539" s="345">
        <v>0</v>
      </c>
      <c r="J539" s="346">
        <v>0</v>
      </c>
      <c r="K539" s="480"/>
      <c r="L539" s="472"/>
      <c r="M539" s="64"/>
      <c r="N539" s="185">
        <v>92.2</v>
      </c>
      <c r="O539" s="68">
        <f>SUM(N539*D539)/1000</f>
        <v>0.12907999999999997</v>
      </c>
    </row>
    <row r="540" spans="1:15" x14ac:dyDescent="0.25">
      <c r="A540" s="782"/>
      <c r="B540" s="406" t="s">
        <v>287</v>
      </c>
      <c r="C540" s="339"/>
      <c r="D540" s="354">
        <v>3.3</v>
      </c>
      <c r="E540" s="354">
        <v>3.3</v>
      </c>
      <c r="F540" s="340">
        <v>0</v>
      </c>
      <c r="G540" s="340">
        <f>99.9*E540/100</f>
        <v>3.2967</v>
      </c>
      <c r="H540" s="355">
        <v>0</v>
      </c>
      <c r="I540" s="356">
        <f>899*E540/100</f>
        <v>29.666999999999998</v>
      </c>
      <c r="J540" s="346">
        <v>0</v>
      </c>
      <c r="K540" s="480"/>
      <c r="L540" s="472"/>
      <c r="M540" s="64"/>
      <c r="N540" s="185"/>
      <c r="O540" s="68"/>
    </row>
    <row r="541" spans="1:15" x14ac:dyDescent="0.25">
      <c r="A541" s="782"/>
      <c r="B541" s="406" t="s">
        <v>288</v>
      </c>
      <c r="C541" s="354"/>
      <c r="D541" s="340">
        <v>5.5</v>
      </c>
      <c r="E541" s="340">
        <v>5.5</v>
      </c>
      <c r="F541" s="340">
        <f>0.8*E541/100</f>
        <v>4.4000000000000004E-2</v>
      </c>
      <c r="G541" s="340">
        <f>72.5*E541/100</f>
        <v>3.9874999999999998</v>
      </c>
      <c r="H541" s="340">
        <f>1.3*E541/100</f>
        <v>7.1500000000000008E-2</v>
      </c>
      <c r="I541" s="345">
        <f>661*E541/100</f>
        <v>36.354999999999997</v>
      </c>
      <c r="J541" s="346">
        <v>0</v>
      </c>
      <c r="K541" s="483"/>
      <c r="L541" s="472"/>
      <c r="M541" s="64"/>
      <c r="N541" s="114">
        <v>376.98</v>
      </c>
      <c r="O541" s="68">
        <f>SUM(N541*D541)/1000</f>
        <v>2.0733900000000003</v>
      </c>
    </row>
    <row r="542" spans="1:15" x14ac:dyDescent="0.25">
      <c r="A542" s="782"/>
      <c r="B542" s="385" t="s">
        <v>160</v>
      </c>
      <c r="C542" s="363">
        <v>120</v>
      </c>
      <c r="D542" s="340"/>
      <c r="E542" s="340"/>
      <c r="F542" s="341" t="s">
        <v>48</v>
      </c>
      <c r="G542" s="341" t="s">
        <v>48</v>
      </c>
      <c r="H542" s="341" t="s">
        <v>48</v>
      </c>
      <c r="I542" s="341" t="s">
        <v>48</v>
      </c>
      <c r="J542" s="341" t="s">
        <v>48</v>
      </c>
      <c r="K542" s="479" t="s">
        <v>161</v>
      </c>
      <c r="L542" s="472"/>
      <c r="M542" s="64">
        <v>150</v>
      </c>
      <c r="N542" s="65"/>
      <c r="O542" s="64"/>
    </row>
    <row r="543" spans="1:15" x14ac:dyDescent="0.25">
      <c r="A543" s="782"/>
      <c r="B543" s="382" t="s">
        <v>261</v>
      </c>
      <c r="C543" s="343"/>
      <c r="D543" s="340">
        <v>115</v>
      </c>
      <c r="E543" s="340">
        <v>90</v>
      </c>
      <c r="F543" s="340">
        <f>1.5*E543/100</f>
        <v>1.35</v>
      </c>
      <c r="G543" s="340">
        <v>0</v>
      </c>
      <c r="H543" s="340">
        <f>8.8*E543/100</f>
        <v>7.9200000000000008</v>
      </c>
      <c r="I543" s="345">
        <f>42*E543/100</f>
        <v>37.799999999999997</v>
      </c>
      <c r="J543" s="346">
        <f>10*E543/100</f>
        <v>9</v>
      </c>
      <c r="K543" s="480"/>
      <c r="L543" s="472"/>
      <c r="M543" s="64"/>
      <c r="N543" s="114">
        <v>20.7</v>
      </c>
      <c r="O543" s="68">
        <f t="shared" ref="O543:O548" si="50">SUM(N543*D543)/1000</f>
        <v>2.3805000000000001</v>
      </c>
    </row>
    <row r="544" spans="1:15" x14ac:dyDescent="0.25">
      <c r="A544" s="782"/>
      <c r="B544" s="382" t="s">
        <v>262</v>
      </c>
      <c r="C544" s="343"/>
      <c r="D544" s="340">
        <v>25</v>
      </c>
      <c r="E544" s="340">
        <v>21</v>
      </c>
      <c r="F544" s="340">
        <f>1.4*E544/100</f>
        <v>0.29399999999999998</v>
      </c>
      <c r="G544" s="340">
        <v>0</v>
      </c>
      <c r="H544" s="340">
        <f>8.2*E544/100</f>
        <v>1.722</v>
      </c>
      <c r="I544" s="345">
        <f>41*E544/100</f>
        <v>8.61</v>
      </c>
      <c r="J544" s="346">
        <f>10*E544/100</f>
        <v>2.1</v>
      </c>
      <c r="K544" s="480"/>
      <c r="L544" s="472"/>
      <c r="M544" s="64"/>
      <c r="N544" s="114">
        <v>92.2</v>
      </c>
      <c r="O544" s="68">
        <f t="shared" si="50"/>
        <v>2.3050000000000002</v>
      </c>
    </row>
    <row r="545" spans="1:15" x14ac:dyDescent="0.25">
      <c r="A545" s="782"/>
      <c r="B545" s="382" t="s">
        <v>240</v>
      </c>
      <c r="C545" s="363"/>
      <c r="D545" s="340">
        <v>12</v>
      </c>
      <c r="E545" s="340">
        <v>12</v>
      </c>
      <c r="F545" s="340">
        <f>4.8*E545/100</f>
        <v>0.57599999999999996</v>
      </c>
      <c r="G545" s="340">
        <v>0</v>
      </c>
      <c r="H545" s="340">
        <f>19*E545/100</f>
        <v>2.2799999999999998</v>
      </c>
      <c r="I545" s="345">
        <f>102*E545/100</f>
        <v>12.24</v>
      </c>
      <c r="J545" s="346">
        <f>45*E545/100</f>
        <v>5.4</v>
      </c>
      <c r="K545" s="480"/>
      <c r="L545" s="472"/>
      <c r="M545" s="64"/>
      <c r="N545" s="114">
        <v>120</v>
      </c>
      <c r="O545" s="68">
        <f t="shared" si="50"/>
        <v>1.44</v>
      </c>
    </row>
    <row r="546" spans="1:15" ht="30" x14ac:dyDescent="0.25">
      <c r="A546" s="782"/>
      <c r="B546" s="382" t="s">
        <v>241</v>
      </c>
      <c r="C546" s="363"/>
      <c r="D546" s="340">
        <v>9</v>
      </c>
      <c r="E546" s="340">
        <v>9</v>
      </c>
      <c r="F546" s="340">
        <v>0</v>
      </c>
      <c r="G546" s="340">
        <f>99.9*E546/100</f>
        <v>8.9909999999999997</v>
      </c>
      <c r="H546" s="355">
        <v>0</v>
      </c>
      <c r="I546" s="356">
        <f>899*E546/100</f>
        <v>80.91</v>
      </c>
      <c r="J546" s="346">
        <v>0</v>
      </c>
      <c r="K546" s="480"/>
      <c r="L546" s="472"/>
      <c r="M546" s="64"/>
      <c r="N546" s="114">
        <v>38.5</v>
      </c>
      <c r="O546" s="68">
        <f t="shared" si="50"/>
        <v>0.34649999999999997</v>
      </c>
    </row>
    <row r="547" spans="1:15" x14ac:dyDescent="0.25">
      <c r="A547" s="782"/>
      <c r="B547" s="382" t="s">
        <v>230</v>
      </c>
      <c r="C547" s="363"/>
      <c r="D547" s="386">
        <v>1.44</v>
      </c>
      <c r="E547" s="386">
        <v>1.44</v>
      </c>
      <c r="F547" s="340">
        <v>0</v>
      </c>
      <c r="G547" s="340">
        <v>0</v>
      </c>
      <c r="H547" s="340">
        <v>15</v>
      </c>
      <c r="I547" s="340">
        <v>56.9</v>
      </c>
      <c r="J547" s="346">
        <v>0</v>
      </c>
      <c r="K547" s="480"/>
      <c r="L547" s="472"/>
      <c r="M547" s="64"/>
      <c r="N547" s="114">
        <v>21.98</v>
      </c>
      <c r="O547" s="68">
        <f t="shared" si="50"/>
        <v>3.1651199999999997E-2</v>
      </c>
    </row>
    <row r="548" spans="1:15" x14ac:dyDescent="0.25">
      <c r="A548" s="782"/>
      <c r="B548" s="382" t="s">
        <v>231</v>
      </c>
      <c r="C548" s="387"/>
      <c r="D548" s="388">
        <v>1</v>
      </c>
      <c r="E548" s="388">
        <v>1</v>
      </c>
      <c r="F548" s="389">
        <v>0</v>
      </c>
      <c r="G548" s="341">
        <v>0</v>
      </c>
      <c r="H548" s="341">
        <v>0</v>
      </c>
      <c r="I548" s="348">
        <v>0</v>
      </c>
      <c r="J548" s="349">
        <v>0</v>
      </c>
      <c r="K548" s="480"/>
      <c r="L548" s="472"/>
      <c r="M548" s="64"/>
      <c r="N548" s="215">
        <v>550</v>
      </c>
      <c r="O548" s="68">
        <f t="shared" si="50"/>
        <v>0.55000000000000004</v>
      </c>
    </row>
    <row r="549" spans="1:15" x14ac:dyDescent="0.25">
      <c r="A549" s="782"/>
      <c r="B549" s="213"/>
      <c r="C549" s="216"/>
      <c r="D549" s="100"/>
      <c r="E549" s="100"/>
      <c r="F549" s="192">
        <f>SUM(F543:F548)</f>
        <v>2.2200000000000002</v>
      </c>
      <c r="G549" s="192">
        <f>SUM(G543:G548)</f>
        <v>8.9909999999999997</v>
      </c>
      <c r="H549" s="192">
        <f>SUM(H543:H548)</f>
        <v>26.922000000000001</v>
      </c>
      <c r="I549" s="192">
        <f>SUM(I543:I548)</f>
        <v>196.46</v>
      </c>
      <c r="J549" s="193">
        <f>SUM(J543:J548)</f>
        <v>16.5</v>
      </c>
      <c r="K549" s="156"/>
      <c r="L549" s="472"/>
      <c r="M549" s="64"/>
      <c r="N549" s="65"/>
      <c r="O549" s="72">
        <f>SUM(O543:O548)</f>
        <v>7.0536512</v>
      </c>
    </row>
    <row r="550" spans="1:15" ht="30" x14ac:dyDescent="0.25">
      <c r="A550" s="782"/>
      <c r="B550" s="138" t="s">
        <v>180</v>
      </c>
      <c r="C550" s="124">
        <v>180</v>
      </c>
      <c r="D550" s="13"/>
      <c r="E550" s="13"/>
      <c r="F550" s="63"/>
      <c r="G550" s="63"/>
      <c r="H550" s="63"/>
      <c r="I550" s="63"/>
      <c r="J550" s="96"/>
      <c r="K550" s="108" t="s">
        <v>181</v>
      </c>
      <c r="L550" s="472"/>
      <c r="M550" s="64">
        <v>180</v>
      </c>
      <c r="N550" s="65"/>
      <c r="O550" s="68"/>
    </row>
    <row r="551" spans="1:15" ht="15" customHeight="1" x14ac:dyDescent="0.25">
      <c r="A551" s="782"/>
      <c r="B551" s="107" t="s">
        <v>182</v>
      </c>
      <c r="C551" s="107"/>
      <c r="D551" s="63">
        <v>18</v>
      </c>
      <c r="E551" s="63" t="s">
        <v>183</v>
      </c>
      <c r="F551" s="63">
        <v>0.93600000000000005</v>
      </c>
      <c r="G551" s="63">
        <v>5.3999999999999999E-2</v>
      </c>
      <c r="H551" s="63">
        <v>9.18</v>
      </c>
      <c r="I551" s="63">
        <v>41.76</v>
      </c>
      <c r="J551" s="96">
        <v>0.72</v>
      </c>
      <c r="K551" s="136"/>
      <c r="L551" s="472"/>
      <c r="M551" s="64"/>
      <c r="N551" s="114">
        <v>100</v>
      </c>
      <c r="O551" s="68">
        <f>SUM(N551*D551)/1000</f>
        <v>1.8</v>
      </c>
    </row>
    <row r="552" spans="1:15" x14ac:dyDescent="0.25">
      <c r="A552" s="782"/>
      <c r="B552" s="107" t="s">
        <v>38</v>
      </c>
      <c r="C552" s="107"/>
      <c r="D552" s="63">
        <v>14.4</v>
      </c>
      <c r="E552" s="63">
        <v>14.4</v>
      </c>
      <c r="F552" s="63">
        <v>0</v>
      </c>
      <c r="G552" s="63">
        <v>0</v>
      </c>
      <c r="H552" s="63">
        <v>14.371</v>
      </c>
      <c r="I552" s="63">
        <v>54.576000000000001</v>
      </c>
      <c r="J552" s="96">
        <v>0</v>
      </c>
      <c r="K552" s="136"/>
      <c r="L552" s="472"/>
      <c r="M552" s="64"/>
      <c r="N552" s="114">
        <v>50.7</v>
      </c>
      <c r="O552" s="68">
        <f>SUM(N552*D552)/1000</f>
        <v>0.73008000000000006</v>
      </c>
    </row>
    <row r="553" spans="1:15" x14ac:dyDescent="0.25">
      <c r="A553" s="782"/>
      <c r="B553" s="107" t="s">
        <v>19</v>
      </c>
      <c r="C553" s="107"/>
      <c r="D553" s="63">
        <v>182.7</v>
      </c>
      <c r="E553" s="63">
        <v>182.7</v>
      </c>
      <c r="F553" s="63">
        <v>0</v>
      </c>
      <c r="G553" s="63">
        <v>0</v>
      </c>
      <c r="H553" s="63">
        <v>0</v>
      </c>
      <c r="I553" s="63">
        <v>0</v>
      </c>
      <c r="J553" s="96">
        <v>0</v>
      </c>
      <c r="K553" s="136"/>
      <c r="L553" s="472"/>
      <c r="M553" s="64"/>
      <c r="N553" s="114">
        <v>0</v>
      </c>
      <c r="O553" s="68">
        <f>SUM(N553*D553)/1000</f>
        <v>0</v>
      </c>
    </row>
    <row r="554" spans="1:15" x14ac:dyDescent="0.25">
      <c r="A554" s="782"/>
      <c r="B554" s="157"/>
      <c r="C554" s="157"/>
      <c r="D554" s="51"/>
      <c r="E554" s="51"/>
      <c r="F554" s="118">
        <f>SUM(F551:F553)</f>
        <v>0.93600000000000005</v>
      </c>
      <c r="G554" s="118">
        <f>SUM(G551:G553)</f>
        <v>5.3999999999999999E-2</v>
      </c>
      <c r="H554" s="118">
        <f>SUM(H551:H553)</f>
        <v>23.551000000000002</v>
      </c>
      <c r="I554" s="118">
        <f>SUM(I551:I553)</f>
        <v>96.335999999999999</v>
      </c>
      <c r="J554" s="118">
        <f>SUM(J551:J553)</f>
        <v>0.72</v>
      </c>
      <c r="K554" s="156"/>
      <c r="L554" s="472"/>
      <c r="M554" s="64"/>
      <c r="N554" s="114"/>
      <c r="O554" s="72">
        <f>SUM(O551:O553)</f>
        <v>2.5300799999999999</v>
      </c>
    </row>
    <row r="555" spans="1:15" ht="30" x14ac:dyDescent="0.25">
      <c r="A555" s="782"/>
      <c r="B555" s="435" t="s">
        <v>324</v>
      </c>
      <c r="C555" s="124">
        <v>70</v>
      </c>
      <c r="D555" s="63">
        <v>70</v>
      </c>
      <c r="E555" s="63">
        <v>70</v>
      </c>
      <c r="F555" s="118">
        <v>3.85</v>
      </c>
      <c r="G555" s="118">
        <v>1.5</v>
      </c>
      <c r="H555" s="118">
        <v>24.9</v>
      </c>
      <c r="I555" s="118">
        <v>131</v>
      </c>
      <c r="J555" s="139">
        <v>0</v>
      </c>
      <c r="K555" s="153" t="s">
        <v>73</v>
      </c>
      <c r="L555" s="472"/>
      <c r="M555" s="64">
        <v>40</v>
      </c>
      <c r="N555" s="114">
        <v>35</v>
      </c>
      <c r="O555" s="72">
        <f>SUM(N555*D555)/1000</f>
        <v>2.4500000000000002</v>
      </c>
    </row>
    <row r="556" spans="1:15" x14ac:dyDescent="0.25">
      <c r="A556" s="783"/>
      <c r="B556" s="124" t="s">
        <v>74</v>
      </c>
      <c r="C556" s="124"/>
      <c r="D556" s="63"/>
      <c r="E556" s="63"/>
      <c r="F556" s="142">
        <f>SUM(F549,F532,F533,F554:F555)</f>
        <v>18.6874</v>
      </c>
      <c r="G556" s="142">
        <f t="shared" ref="G556:J556" si="51">SUM(G549,G532,G533,G554:G555)</f>
        <v>30.843799999999998</v>
      </c>
      <c r="H556" s="142">
        <f t="shared" si="51"/>
        <v>101.34610000000001</v>
      </c>
      <c r="I556" s="142">
        <f t="shared" si="51"/>
        <v>756.28200000000004</v>
      </c>
      <c r="J556" s="142">
        <f t="shared" si="51"/>
        <v>27.184000000000001</v>
      </c>
      <c r="K556" s="251"/>
      <c r="L556" s="473" t="s">
        <v>29</v>
      </c>
      <c r="M556" s="131">
        <f>SUM(M533:M555)</f>
        <v>447</v>
      </c>
      <c r="N556" s="235"/>
      <c r="O556" s="142" t="e">
        <f>SUM(#REF!,#REF!,O533,O554:O555)</f>
        <v>#REF!</v>
      </c>
    </row>
    <row r="557" spans="1:15" x14ac:dyDescent="0.25">
      <c r="A557" s="5" t="s">
        <v>136</v>
      </c>
      <c r="B557" s="13"/>
      <c r="C557" s="4"/>
      <c r="D557" s="105"/>
      <c r="E557" s="106"/>
      <c r="F557" s="51"/>
      <c r="G557" s="51"/>
      <c r="H557" s="51"/>
      <c r="I557" s="51"/>
      <c r="J557" s="53"/>
      <c r="K557" s="126"/>
      <c r="L557" s="464"/>
      <c r="M557" s="64"/>
      <c r="N557" s="65"/>
      <c r="O557" s="64"/>
    </row>
    <row r="558" spans="1:15" ht="31.5" customHeight="1" x14ac:dyDescent="0.25">
      <c r="A558" s="781"/>
      <c r="B558" s="410" t="s">
        <v>294</v>
      </c>
      <c r="C558" s="339">
        <v>100</v>
      </c>
      <c r="D558" s="340"/>
      <c r="E558" s="340"/>
      <c r="F558" s="401">
        <f>F559+F560+F561+F562+F563</f>
        <v>14.882899999999999</v>
      </c>
      <c r="G558" s="401">
        <f>G559+G560+G561+G562+G563</f>
        <v>7.7965</v>
      </c>
      <c r="H558" s="401">
        <f>H559+H560+H561+H562+H563</f>
        <v>29.130000000000003</v>
      </c>
      <c r="I558" s="401">
        <f>I559+I560+I561+I562+I563</f>
        <v>242.62300000000005</v>
      </c>
      <c r="J558" s="401">
        <f>J559+J560+J561+J562+J563</f>
        <v>0.39</v>
      </c>
      <c r="K558" s="489" t="s">
        <v>295</v>
      </c>
      <c r="L558" s="784" t="s">
        <v>43</v>
      </c>
      <c r="M558" s="64">
        <v>140</v>
      </c>
      <c r="N558" s="65"/>
      <c r="O558" s="64"/>
    </row>
    <row r="559" spans="1:15" x14ac:dyDescent="0.25">
      <c r="A559" s="782"/>
      <c r="B559" s="404" t="s">
        <v>296</v>
      </c>
      <c r="C559" s="354"/>
      <c r="D559" s="340">
        <v>80</v>
      </c>
      <c r="E559" s="340">
        <v>78</v>
      </c>
      <c r="F559" s="340">
        <f>16.7*E559/100</f>
        <v>13.026</v>
      </c>
      <c r="G559" s="340">
        <f>9*E559/100</f>
        <v>7.02</v>
      </c>
      <c r="H559" s="340">
        <f>2*E559/100</f>
        <v>1.56</v>
      </c>
      <c r="I559" s="345">
        <f>155.3*E559/100</f>
        <v>121.13400000000001</v>
      </c>
      <c r="J559" s="346">
        <f>0.5*E559/100</f>
        <v>0.39</v>
      </c>
      <c r="K559" s="480"/>
      <c r="L559" s="785"/>
      <c r="M559" s="64"/>
      <c r="N559" s="185">
        <v>209.73</v>
      </c>
      <c r="O559" s="68">
        <f>SUM(N559*D559)/1000</f>
        <v>16.778399999999998</v>
      </c>
    </row>
    <row r="560" spans="1:15" x14ac:dyDescent="0.25">
      <c r="A560" s="782"/>
      <c r="B560" s="404" t="s">
        <v>247</v>
      </c>
      <c r="C560" s="354"/>
      <c r="D560" s="340">
        <v>11</v>
      </c>
      <c r="E560" s="340">
        <v>11</v>
      </c>
      <c r="F560" s="340">
        <f>10.3*E560/100</f>
        <v>1.133</v>
      </c>
      <c r="G560" s="340">
        <f>1.1*E560/100</f>
        <v>0.12100000000000001</v>
      </c>
      <c r="H560" s="340">
        <f>69*E560/100</f>
        <v>7.59</v>
      </c>
      <c r="I560" s="345">
        <f>334*E560/100</f>
        <v>36.74</v>
      </c>
      <c r="J560" s="346">
        <v>0</v>
      </c>
      <c r="K560" s="480"/>
      <c r="L560" s="785"/>
      <c r="M560" s="64"/>
      <c r="N560" s="185">
        <v>32.659999999999997</v>
      </c>
      <c r="O560" s="68">
        <f>SUM(N560*D560)/1000</f>
        <v>0.35925999999999997</v>
      </c>
    </row>
    <row r="561" spans="1:15" x14ac:dyDescent="0.25">
      <c r="A561" s="782"/>
      <c r="B561" s="404" t="s">
        <v>297</v>
      </c>
      <c r="C561" s="354"/>
      <c r="D561" s="340">
        <v>5.7</v>
      </c>
      <c r="E561" s="340">
        <v>5.7</v>
      </c>
      <c r="F561" s="340">
        <f>12.7*E561/100</f>
        <v>0.72389999999999999</v>
      </c>
      <c r="G561" s="340">
        <f>11.5*E561/100</f>
        <v>0.65549999999999997</v>
      </c>
      <c r="H561" s="340">
        <v>0</v>
      </c>
      <c r="I561" s="345">
        <f>157*E561/100</f>
        <v>8.9489999999999998</v>
      </c>
      <c r="J561" s="346">
        <v>0</v>
      </c>
      <c r="K561" s="480"/>
      <c r="L561" s="785"/>
      <c r="M561" s="64"/>
      <c r="N561" s="185">
        <v>50.7</v>
      </c>
      <c r="O561" s="68">
        <f>SUM(N561*D561)/1000</f>
        <v>0.28899000000000002</v>
      </c>
    </row>
    <row r="562" spans="1:15" x14ac:dyDescent="0.25">
      <c r="A562" s="782"/>
      <c r="B562" s="404" t="s">
        <v>230</v>
      </c>
      <c r="C562" s="354"/>
      <c r="D562" s="340">
        <v>5.7</v>
      </c>
      <c r="E562" s="340">
        <v>5.7</v>
      </c>
      <c r="F562" s="340">
        <v>0</v>
      </c>
      <c r="G562" s="340">
        <v>0</v>
      </c>
      <c r="H562" s="340">
        <v>19.98</v>
      </c>
      <c r="I562" s="345">
        <v>75.8</v>
      </c>
      <c r="J562" s="346">
        <v>0</v>
      </c>
      <c r="K562" s="480"/>
      <c r="L562" s="785"/>
      <c r="M562" s="64"/>
      <c r="N562" s="185">
        <v>4.6989999999999998</v>
      </c>
      <c r="O562" s="68">
        <f>SUM(N562*D562)/40</f>
        <v>0.66960749999999991</v>
      </c>
    </row>
    <row r="563" spans="1:15" x14ac:dyDescent="0.25">
      <c r="A563" s="782"/>
      <c r="B563" s="404" t="s">
        <v>231</v>
      </c>
      <c r="C563" s="354"/>
      <c r="D563" s="340">
        <v>0.76</v>
      </c>
      <c r="E563" s="340">
        <v>0.76</v>
      </c>
      <c r="F563" s="340">
        <v>0</v>
      </c>
      <c r="G563" s="340">
        <v>0</v>
      </c>
      <c r="H563" s="340">
        <v>0</v>
      </c>
      <c r="I563" s="345">
        <v>0</v>
      </c>
      <c r="J563" s="346">
        <v>0</v>
      </c>
      <c r="K563" s="480"/>
      <c r="L563" s="785"/>
      <c r="M563" s="64"/>
      <c r="N563" s="185">
        <v>376.98</v>
      </c>
      <c r="O563" s="68">
        <f t="shared" ref="O563:O568" si="52">SUM(N563*D563)/1000</f>
        <v>0.2865048</v>
      </c>
    </row>
    <row r="564" spans="1:15" x14ac:dyDescent="0.25">
      <c r="A564" s="782"/>
      <c r="B564" s="389" t="s">
        <v>221</v>
      </c>
      <c r="C564" s="339">
        <v>25</v>
      </c>
      <c r="D564" s="340"/>
      <c r="E564" s="340"/>
      <c r="F564" s="401">
        <f>F565+F566+F567+F568+F569+F570</f>
        <v>0.47209999999999996</v>
      </c>
      <c r="G564" s="401">
        <f>G565+G566+G567+G568+G569+G570</f>
        <v>1.2096</v>
      </c>
      <c r="H564" s="401">
        <f>H565+H566+H567+H568+H569+H570</f>
        <v>21.340800000000002</v>
      </c>
      <c r="I564" s="401">
        <f>I565+I566+I567+I568+I569+I570</f>
        <v>93.995000000000005</v>
      </c>
      <c r="J564" s="401">
        <f>J565+J566+J567+J568+J569+J570</f>
        <v>0.16250000000000001</v>
      </c>
      <c r="K564" s="483" t="s">
        <v>298</v>
      </c>
      <c r="L564" s="785"/>
      <c r="M564" s="64"/>
      <c r="N564" s="185">
        <v>2500</v>
      </c>
      <c r="O564" s="68">
        <f t="shared" si="52"/>
        <v>0</v>
      </c>
    </row>
    <row r="565" spans="1:15" x14ac:dyDescent="0.25">
      <c r="A565" s="782"/>
      <c r="B565" s="406" t="s">
        <v>228</v>
      </c>
      <c r="C565" s="354"/>
      <c r="D565" s="340">
        <v>12.5</v>
      </c>
      <c r="E565" s="340">
        <v>12.5</v>
      </c>
      <c r="F565" s="340">
        <f>2.8*E565/100</f>
        <v>0.35</v>
      </c>
      <c r="G565" s="340">
        <f>3.2*E565/100</f>
        <v>0.4</v>
      </c>
      <c r="H565" s="340">
        <f>4.7*E565/100</f>
        <v>0.58750000000000002</v>
      </c>
      <c r="I565" s="345">
        <f>58*E565/100</f>
        <v>7.25</v>
      </c>
      <c r="J565" s="346">
        <f>1.3*E565/100</f>
        <v>0.16250000000000001</v>
      </c>
      <c r="K565" s="483"/>
      <c r="L565" s="785"/>
      <c r="M565" s="64"/>
      <c r="N565" s="185">
        <v>60.5</v>
      </c>
      <c r="O565" s="68">
        <f t="shared" si="52"/>
        <v>0.75624999999999998</v>
      </c>
    </row>
    <row r="566" spans="1:15" x14ac:dyDescent="0.25">
      <c r="A566" s="782"/>
      <c r="B566" s="406" t="s">
        <v>288</v>
      </c>
      <c r="C566" s="354"/>
      <c r="D566" s="340">
        <v>1.1000000000000001</v>
      </c>
      <c r="E566" s="340">
        <v>1.1000000000000001</v>
      </c>
      <c r="F566" s="340">
        <f>0.8*E566/100</f>
        <v>8.8000000000000005E-3</v>
      </c>
      <c r="G566" s="340">
        <f>72.5*E566/100</f>
        <v>0.79749999999999999</v>
      </c>
      <c r="H566" s="340">
        <f>1.3*E566/100</f>
        <v>1.4300000000000002E-2</v>
      </c>
      <c r="I566" s="345">
        <f>661*E566/100</f>
        <v>7.2709999999999999</v>
      </c>
      <c r="J566" s="346">
        <v>0</v>
      </c>
      <c r="K566" s="483"/>
      <c r="L566" s="785"/>
      <c r="M566" s="64"/>
      <c r="N566" s="185">
        <v>153</v>
      </c>
      <c r="O566" s="68">
        <f t="shared" si="52"/>
        <v>0.16830000000000001</v>
      </c>
    </row>
    <row r="567" spans="1:15" x14ac:dyDescent="0.25">
      <c r="A567" s="782"/>
      <c r="B567" s="406" t="s">
        <v>291</v>
      </c>
      <c r="C567" s="354"/>
      <c r="D567" s="340">
        <v>1.1000000000000001</v>
      </c>
      <c r="E567" s="340">
        <v>1.1000000000000001</v>
      </c>
      <c r="F567" s="340">
        <f>10.3*E567/100</f>
        <v>0.11330000000000001</v>
      </c>
      <c r="G567" s="340">
        <f>1.1*E567/100</f>
        <v>1.2100000000000001E-2</v>
      </c>
      <c r="H567" s="340">
        <f>69*E567/100</f>
        <v>0.75900000000000001</v>
      </c>
      <c r="I567" s="345">
        <f>334*E567/100</f>
        <v>3.6740000000000004</v>
      </c>
      <c r="J567" s="346">
        <v>0</v>
      </c>
      <c r="K567" s="483"/>
      <c r="L567" s="785"/>
      <c r="M567" s="64"/>
      <c r="N567" s="185">
        <v>16.62</v>
      </c>
      <c r="O567" s="68">
        <f t="shared" si="52"/>
        <v>1.8282000000000003E-2</v>
      </c>
    </row>
    <row r="568" spans="1:15" x14ac:dyDescent="0.25">
      <c r="A568" s="782"/>
      <c r="B568" s="406" t="s">
        <v>229</v>
      </c>
      <c r="C568" s="354"/>
      <c r="D568" s="340">
        <v>12.5</v>
      </c>
      <c r="E568" s="340">
        <v>12.5</v>
      </c>
      <c r="F568" s="340">
        <v>0</v>
      </c>
      <c r="G568" s="340">
        <v>0</v>
      </c>
      <c r="H568" s="340">
        <v>0</v>
      </c>
      <c r="I568" s="345">
        <v>0</v>
      </c>
      <c r="J568" s="346">
        <v>0</v>
      </c>
      <c r="K568" s="483"/>
      <c r="L568" s="785"/>
      <c r="M568" s="64"/>
      <c r="N568" s="185"/>
      <c r="O568" s="68">
        <f t="shared" si="52"/>
        <v>0</v>
      </c>
    </row>
    <row r="569" spans="1:15" x14ac:dyDescent="0.25">
      <c r="A569" s="782"/>
      <c r="B569" s="406" t="s">
        <v>299</v>
      </c>
      <c r="C569" s="354"/>
      <c r="D569" s="340">
        <v>2</v>
      </c>
      <c r="E569" s="340">
        <v>2</v>
      </c>
      <c r="F569" s="340">
        <v>0</v>
      </c>
      <c r="G569" s="340">
        <v>0</v>
      </c>
      <c r="H569" s="340">
        <v>19.98</v>
      </c>
      <c r="I569" s="345">
        <v>75.8</v>
      </c>
      <c r="J569" s="346">
        <v>0</v>
      </c>
      <c r="K569" s="483"/>
      <c r="L569" s="785"/>
      <c r="M569" s="64"/>
      <c r="N569" s="185">
        <v>76.989999999999995</v>
      </c>
      <c r="O569" s="68">
        <f>SUM(N569*D569)/400</f>
        <v>0.38494999999999996</v>
      </c>
    </row>
    <row r="570" spans="1:15" x14ac:dyDescent="0.25">
      <c r="A570" s="782"/>
      <c r="B570" s="406" t="s">
        <v>300</v>
      </c>
      <c r="C570" s="354"/>
      <c r="D570" s="340">
        <v>1E-3</v>
      </c>
      <c r="E570" s="340">
        <v>1E-3</v>
      </c>
      <c r="F570" s="340">
        <v>0</v>
      </c>
      <c r="G570" s="340">
        <v>0</v>
      </c>
      <c r="H570" s="340">
        <v>0</v>
      </c>
      <c r="I570" s="345">
        <v>0</v>
      </c>
      <c r="J570" s="346">
        <v>0</v>
      </c>
      <c r="K570" s="483"/>
      <c r="L570" s="785"/>
      <c r="M570" s="64"/>
      <c r="N570" s="65"/>
      <c r="O570" s="72">
        <f>SUM(O559:O569)</f>
        <v>19.710544299999995</v>
      </c>
    </row>
    <row r="571" spans="1:15" x14ac:dyDescent="0.25">
      <c r="A571" s="782"/>
      <c r="B571" s="362" t="s">
        <v>56</v>
      </c>
      <c r="C571" s="363">
        <v>180</v>
      </c>
      <c r="D571" s="352"/>
      <c r="E571" s="352"/>
      <c r="F571" s="401">
        <f>F572+F573+F574+F575</f>
        <v>3.25</v>
      </c>
      <c r="G571" s="401">
        <f>G572+G573+G574+G575</f>
        <v>3.3080000000000003</v>
      </c>
      <c r="H571" s="401">
        <f>H572+H573+H574+H575</f>
        <v>14.89</v>
      </c>
      <c r="I571" s="401">
        <f>I572+I573+I574+I575</f>
        <v>99.460999999999999</v>
      </c>
      <c r="J571" s="401">
        <f>J572+J573+J574+J575</f>
        <v>1.3</v>
      </c>
      <c r="K571" s="484" t="s">
        <v>249</v>
      </c>
      <c r="L571" s="785"/>
      <c r="M571" s="64">
        <v>190</v>
      </c>
      <c r="N571" s="65"/>
      <c r="O571" s="64"/>
    </row>
    <row r="572" spans="1:15" x14ac:dyDescent="0.25">
      <c r="A572" s="782"/>
      <c r="B572" s="353" t="s">
        <v>250</v>
      </c>
      <c r="C572" s="343"/>
      <c r="D572" s="340">
        <v>3</v>
      </c>
      <c r="E572" s="340">
        <v>3</v>
      </c>
      <c r="F572" s="340">
        <f>15*E572/100</f>
        <v>0.45</v>
      </c>
      <c r="G572" s="340">
        <f>3.6*E572/100</f>
        <v>0.10800000000000001</v>
      </c>
      <c r="H572" s="340">
        <f>7*E572/100</f>
        <v>0.21</v>
      </c>
      <c r="I572" s="345">
        <f>118.7*E572/100</f>
        <v>3.5610000000000004</v>
      </c>
      <c r="J572" s="346">
        <v>0</v>
      </c>
      <c r="K572" s="480"/>
      <c r="L572" s="785"/>
      <c r="M572" s="64"/>
      <c r="N572" s="114"/>
      <c r="O572" s="68"/>
    </row>
    <row r="573" spans="1:15" x14ac:dyDescent="0.25">
      <c r="A573" s="782"/>
      <c r="B573" s="353" t="s">
        <v>229</v>
      </c>
      <c r="C573" s="343"/>
      <c r="D573" s="340">
        <v>108</v>
      </c>
      <c r="E573" s="340">
        <v>108</v>
      </c>
      <c r="F573" s="340">
        <v>0</v>
      </c>
      <c r="G573" s="340">
        <v>0</v>
      </c>
      <c r="H573" s="340">
        <v>0</v>
      </c>
      <c r="I573" s="345">
        <v>0</v>
      </c>
      <c r="J573" s="346">
        <v>0</v>
      </c>
      <c r="K573" s="480"/>
      <c r="L573" s="785"/>
      <c r="M573" s="64"/>
      <c r="N573" s="114">
        <v>0</v>
      </c>
      <c r="O573" s="68">
        <f>SUM(N573*D573)/1000</f>
        <v>0</v>
      </c>
    </row>
    <row r="574" spans="1:15" x14ac:dyDescent="0.25">
      <c r="A574" s="782"/>
      <c r="B574" s="353" t="s">
        <v>230</v>
      </c>
      <c r="C574" s="343"/>
      <c r="D574" s="340">
        <v>10</v>
      </c>
      <c r="E574" s="340">
        <v>10</v>
      </c>
      <c r="F574" s="340">
        <v>0</v>
      </c>
      <c r="G574" s="340">
        <v>0</v>
      </c>
      <c r="H574" s="340">
        <f>99.8*E574/100</f>
        <v>9.98</v>
      </c>
      <c r="I574" s="345">
        <f>379*E574/100</f>
        <v>37.9</v>
      </c>
      <c r="J574" s="346">
        <v>0</v>
      </c>
      <c r="K574" s="480"/>
      <c r="L574" s="785"/>
      <c r="M574" s="64"/>
      <c r="N574" s="114">
        <v>400</v>
      </c>
      <c r="O574" s="68">
        <f>SUM(N574*D574)/1000</f>
        <v>4</v>
      </c>
    </row>
    <row r="575" spans="1:15" x14ac:dyDescent="0.25">
      <c r="A575" s="782"/>
      <c r="B575" s="353" t="s">
        <v>228</v>
      </c>
      <c r="C575" s="343"/>
      <c r="D575" s="340">
        <v>90</v>
      </c>
      <c r="E575" s="340">
        <v>90</v>
      </c>
      <c r="F575" s="340">
        <v>2.8</v>
      </c>
      <c r="G575" s="340">
        <v>3.2</v>
      </c>
      <c r="H575" s="340">
        <v>4.7</v>
      </c>
      <c r="I575" s="345">
        <v>58</v>
      </c>
      <c r="J575" s="346">
        <v>1.3</v>
      </c>
      <c r="K575" s="480"/>
      <c r="L575" s="785"/>
      <c r="M575" s="64"/>
      <c r="N575" s="114">
        <v>50.7</v>
      </c>
      <c r="O575" s="68">
        <f>SUM(N575*D575)/1000</f>
        <v>4.5629999999999997</v>
      </c>
    </row>
    <row r="576" spans="1:15" x14ac:dyDescent="0.25">
      <c r="A576" s="783"/>
      <c r="B576" s="124" t="s">
        <v>46</v>
      </c>
      <c r="C576" s="124"/>
      <c r="D576" s="51"/>
      <c r="E576" s="51"/>
      <c r="F576" s="159">
        <f>SUM(F564,F571,F558)</f>
        <v>18.605</v>
      </c>
      <c r="G576" s="159">
        <f t="shared" ref="G576:J576" si="53">SUM(G564,G571,G558)</f>
        <v>12.3141</v>
      </c>
      <c r="H576" s="159">
        <f t="shared" si="53"/>
        <v>65.360800000000012</v>
      </c>
      <c r="I576" s="159">
        <f t="shared" si="53"/>
        <v>436.07900000000006</v>
      </c>
      <c r="J576" s="159">
        <f t="shared" si="53"/>
        <v>1.8525</v>
      </c>
      <c r="K576" s="45"/>
      <c r="L576" s="474"/>
      <c r="M576" s="239"/>
      <c r="N576" s="240"/>
      <c r="O576" s="159">
        <f>SUM(O564,O571,O558)</f>
        <v>0</v>
      </c>
    </row>
    <row r="577" spans="1:15" ht="25.5" x14ac:dyDescent="0.25">
      <c r="A577" s="10" t="s">
        <v>148</v>
      </c>
      <c r="B577" s="146"/>
      <c r="C577" s="22"/>
      <c r="D577" s="23"/>
      <c r="E577" s="23"/>
      <c r="F577" s="326">
        <f>SUM(F517,F556,F576)</f>
        <v>48.662800000000004</v>
      </c>
      <c r="G577" s="326">
        <f>SUM(G517,G556,G576)</f>
        <v>57.227499999999992</v>
      </c>
      <c r="H577" s="326">
        <f>SUM(H517,H556,H576)</f>
        <v>246.41070000000002</v>
      </c>
      <c r="I577" s="326">
        <f>SUM(I517,I556,I576)</f>
        <v>1683.8804</v>
      </c>
      <c r="J577" s="326">
        <f>SUM(J517,J556,J576)</f>
        <v>40.799399999999999</v>
      </c>
      <c r="K577" s="30"/>
      <c r="L577" s="471"/>
      <c r="M577" s="31"/>
      <c r="N577" s="32"/>
      <c r="O577" s="33" t="e">
        <f>SUM(O517,O556,O576)</f>
        <v>#REF!</v>
      </c>
    </row>
    <row r="578" spans="1:15" x14ac:dyDescent="0.25">
      <c r="A578" s="13" t="s">
        <v>149</v>
      </c>
      <c r="B578" s="13"/>
      <c r="C578" s="13"/>
      <c r="D578" s="51"/>
      <c r="E578" s="51"/>
      <c r="F578" s="242"/>
      <c r="G578" s="242"/>
      <c r="H578" s="242"/>
      <c r="I578" s="242"/>
      <c r="J578" s="243"/>
      <c r="K578" s="244"/>
      <c r="L578" s="464"/>
      <c r="M578" s="64"/>
      <c r="N578" s="65"/>
      <c r="O578" s="64"/>
    </row>
    <row r="579" spans="1:15" x14ac:dyDescent="0.25">
      <c r="A579" s="5" t="s">
        <v>140</v>
      </c>
      <c r="B579" s="13"/>
      <c r="C579" s="4"/>
      <c r="D579" s="105"/>
      <c r="E579" s="106"/>
      <c r="F579" s="51"/>
      <c r="G579" s="51"/>
      <c r="H579" s="51"/>
      <c r="I579" s="51"/>
      <c r="J579" s="53"/>
      <c r="K579" s="174"/>
      <c r="L579" s="464"/>
      <c r="M579" s="64"/>
      <c r="N579" s="65"/>
      <c r="O579" s="64"/>
    </row>
    <row r="580" spans="1:15" ht="29.25" x14ac:dyDescent="0.25">
      <c r="A580" s="781"/>
      <c r="B580" s="362" t="s">
        <v>270</v>
      </c>
      <c r="C580" s="363">
        <v>200</v>
      </c>
      <c r="D580" s="340"/>
      <c r="E580" s="340"/>
      <c r="F580" s="400">
        <f>F581+F582+F583+F584+F585</f>
        <v>4.7249999999999996</v>
      </c>
      <c r="G580" s="400">
        <f>G581+G582+G583+G584+G585</f>
        <v>3.335</v>
      </c>
      <c r="H580" s="400">
        <f>H581+H582+H583+H584+H585</f>
        <v>40.328000000000003</v>
      </c>
      <c r="I580" s="400">
        <f>I581+I582+I583+I584+I585</f>
        <v>209.85</v>
      </c>
      <c r="J580" s="400">
        <f>J581+J582+J583+J584+J585</f>
        <v>1.2350000000000001</v>
      </c>
      <c r="K580" s="479" t="s">
        <v>271</v>
      </c>
      <c r="L580" s="798" t="s">
        <v>17</v>
      </c>
      <c r="M580" s="65">
        <v>180</v>
      </c>
      <c r="N580" s="65"/>
      <c r="O580" s="64"/>
    </row>
    <row r="581" spans="1:15" x14ac:dyDescent="0.25">
      <c r="A581" s="782"/>
      <c r="B581" s="353" t="s">
        <v>272</v>
      </c>
      <c r="C581" s="343"/>
      <c r="D581" s="340">
        <v>29.5</v>
      </c>
      <c r="E581" s="340">
        <v>29.5</v>
      </c>
      <c r="F581" s="347">
        <f>7*E581/100</f>
        <v>2.0649999999999999</v>
      </c>
      <c r="G581" s="347">
        <f>1*E581/100</f>
        <v>0.29499999999999998</v>
      </c>
      <c r="H581" s="347">
        <f>71.4*E581/100</f>
        <v>21.063000000000002</v>
      </c>
      <c r="I581" s="395">
        <f>330*E581/100</f>
        <v>97.35</v>
      </c>
      <c r="J581" s="396">
        <v>0</v>
      </c>
      <c r="K581" s="480"/>
      <c r="L581" s="799"/>
      <c r="M581" s="65"/>
      <c r="N581" s="114">
        <v>43.22</v>
      </c>
      <c r="O581" s="68">
        <f t="shared" ref="O581:O585" si="54">SUM(N581*D581)/1000</f>
        <v>1.2749900000000001</v>
      </c>
    </row>
    <row r="582" spans="1:15" x14ac:dyDescent="0.25">
      <c r="A582" s="782"/>
      <c r="B582" s="353" t="s">
        <v>228</v>
      </c>
      <c r="C582" s="354"/>
      <c r="D582" s="340">
        <v>95</v>
      </c>
      <c r="E582" s="340">
        <v>95</v>
      </c>
      <c r="F582" s="340">
        <f>2.8*E582/100</f>
        <v>2.66</v>
      </c>
      <c r="G582" s="340">
        <f>3.2*E582/100</f>
        <v>3.04</v>
      </c>
      <c r="H582" s="340">
        <f>4.7*E582/100</f>
        <v>4.4649999999999999</v>
      </c>
      <c r="I582" s="345">
        <f>58*E582/100</f>
        <v>55.1</v>
      </c>
      <c r="J582" s="346">
        <f>1.3*E582/100</f>
        <v>1.2350000000000001</v>
      </c>
      <c r="K582" s="480"/>
      <c r="L582" s="799"/>
      <c r="M582" s="65"/>
      <c r="N582" s="114">
        <v>0</v>
      </c>
      <c r="O582" s="68">
        <f t="shared" si="54"/>
        <v>0</v>
      </c>
    </row>
    <row r="583" spans="1:15" x14ac:dyDescent="0.25">
      <c r="A583" s="782"/>
      <c r="B583" s="353" t="s">
        <v>229</v>
      </c>
      <c r="C583" s="354"/>
      <c r="D583" s="340">
        <v>72</v>
      </c>
      <c r="E583" s="340">
        <v>72</v>
      </c>
      <c r="F583" s="341">
        <v>0</v>
      </c>
      <c r="G583" s="341">
        <v>0</v>
      </c>
      <c r="H583" s="341">
        <v>0</v>
      </c>
      <c r="I583" s="348">
        <v>0</v>
      </c>
      <c r="J583" s="349">
        <v>0</v>
      </c>
      <c r="K583" s="480"/>
      <c r="L583" s="799"/>
      <c r="M583" s="65"/>
      <c r="N583" s="114">
        <v>55.45</v>
      </c>
      <c r="O583" s="68">
        <f t="shared" si="54"/>
        <v>3.9923999999999999</v>
      </c>
    </row>
    <row r="584" spans="1:15" x14ac:dyDescent="0.25">
      <c r="A584" s="782"/>
      <c r="B584" s="353" t="s">
        <v>230</v>
      </c>
      <c r="C584" s="363"/>
      <c r="D584" s="340">
        <v>15</v>
      </c>
      <c r="E584" s="340">
        <v>15</v>
      </c>
      <c r="F584" s="340">
        <v>0</v>
      </c>
      <c r="G584" s="340">
        <v>0</v>
      </c>
      <c r="H584" s="340">
        <v>14.8</v>
      </c>
      <c r="I584" s="345">
        <v>57.4</v>
      </c>
      <c r="J584" s="366">
        <v>0</v>
      </c>
      <c r="K584" s="480"/>
      <c r="L584" s="799"/>
      <c r="M584" s="65"/>
      <c r="N584" s="114">
        <v>376.98</v>
      </c>
      <c r="O584" s="68">
        <f t="shared" si="54"/>
        <v>5.6547000000000009</v>
      </c>
    </row>
    <row r="585" spans="1:15" x14ac:dyDescent="0.25">
      <c r="A585" s="782"/>
      <c r="B585" s="353" t="s">
        <v>231</v>
      </c>
      <c r="C585" s="363"/>
      <c r="D585" s="340">
        <v>0.3</v>
      </c>
      <c r="E585" s="340">
        <v>0.3</v>
      </c>
      <c r="F585" s="340">
        <v>0</v>
      </c>
      <c r="G585" s="340">
        <v>0</v>
      </c>
      <c r="H585" s="340">
        <v>0</v>
      </c>
      <c r="I585" s="345">
        <v>0</v>
      </c>
      <c r="J585" s="346">
        <v>0</v>
      </c>
      <c r="K585" s="480"/>
      <c r="L585" s="799"/>
      <c r="M585" s="65"/>
      <c r="N585" s="114">
        <v>50.7</v>
      </c>
      <c r="O585" s="68">
        <f t="shared" si="54"/>
        <v>1.5210000000000001E-2</v>
      </c>
    </row>
    <row r="586" spans="1:15" x14ac:dyDescent="0.25">
      <c r="A586" s="782"/>
      <c r="B586" s="362" t="s">
        <v>45</v>
      </c>
      <c r="C586" s="387">
        <v>30</v>
      </c>
      <c r="D586" s="359">
        <v>30</v>
      </c>
      <c r="E586" s="341">
        <v>30</v>
      </c>
      <c r="F586" s="401">
        <v>3.4</v>
      </c>
      <c r="G586" s="401">
        <v>6.3</v>
      </c>
      <c r="H586" s="401">
        <v>32.799999999999997</v>
      </c>
      <c r="I586" s="401">
        <v>229.5</v>
      </c>
      <c r="J586" s="411">
        <v>0.13</v>
      </c>
      <c r="K586" s="483" t="s">
        <v>73</v>
      </c>
      <c r="L586" s="799"/>
      <c r="M586" s="64">
        <v>45</v>
      </c>
      <c r="N586" s="65"/>
      <c r="O586" s="64"/>
    </row>
    <row r="587" spans="1:15" x14ac:dyDescent="0.25">
      <c r="A587" s="782"/>
      <c r="B587" s="397" t="s">
        <v>72</v>
      </c>
      <c r="C587" s="105" t="s">
        <v>187</v>
      </c>
      <c r="D587" s="13"/>
      <c r="E587" s="13"/>
      <c r="F587" s="13"/>
      <c r="G587" s="13"/>
      <c r="H587" s="13"/>
      <c r="I587" s="13"/>
      <c r="J587" s="96"/>
      <c r="K587" s="125" t="s">
        <v>188</v>
      </c>
      <c r="L587" s="799"/>
      <c r="M587" s="64">
        <v>197</v>
      </c>
      <c r="N587" s="65"/>
      <c r="O587" s="68"/>
    </row>
    <row r="588" spans="1:15" x14ac:dyDescent="0.25">
      <c r="A588" s="782"/>
      <c r="B588" s="397" t="s">
        <v>184</v>
      </c>
      <c r="C588" s="124"/>
      <c r="D588" s="13">
        <v>30</v>
      </c>
      <c r="E588" s="13">
        <v>30</v>
      </c>
      <c r="F588" s="13"/>
      <c r="G588" s="13"/>
      <c r="H588" s="13"/>
      <c r="I588" s="13"/>
      <c r="J588" s="96"/>
      <c r="K588" s="125"/>
      <c r="L588" s="799"/>
      <c r="M588" s="64"/>
      <c r="N588" s="88"/>
      <c r="O588" s="68"/>
    </row>
    <row r="589" spans="1:15" x14ac:dyDescent="0.25">
      <c r="A589" s="782"/>
      <c r="B589" s="107" t="s">
        <v>120</v>
      </c>
      <c r="C589" s="124"/>
      <c r="D589" s="63">
        <v>32.4</v>
      </c>
      <c r="E589" s="63">
        <v>32.4</v>
      </c>
      <c r="F589" s="63">
        <v>0</v>
      </c>
      <c r="G589" s="63">
        <v>0</v>
      </c>
      <c r="H589" s="63">
        <v>0</v>
      </c>
      <c r="I589" s="63">
        <v>0</v>
      </c>
      <c r="J589" s="96">
        <v>0</v>
      </c>
      <c r="K589" s="125"/>
      <c r="L589" s="799"/>
      <c r="M589" s="64"/>
      <c r="N589" s="88"/>
      <c r="O589" s="68"/>
    </row>
    <row r="590" spans="1:15" x14ac:dyDescent="0.25">
      <c r="A590" s="782"/>
      <c r="B590" s="107" t="s">
        <v>185</v>
      </c>
      <c r="C590" s="107"/>
      <c r="D590" s="63">
        <v>0.3</v>
      </c>
      <c r="E590" s="63">
        <v>0.3</v>
      </c>
      <c r="F590" s="63">
        <v>0.06</v>
      </c>
      <c r="G590" s="63">
        <v>0</v>
      </c>
      <c r="H590" s="63">
        <v>2.07E-2</v>
      </c>
      <c r="I590" s="63">
        <v>0.45540000000000003</v>
      </c>
      <c r="J590" s="96">
        <v>0.03</v>
      </c>
      <c r="K590" s="126"/>
      <c r="L590" s="799"/>
      <c r="M590" s="64"/>
      <c r="N590" s="114">
        <v>400</v>
      </c>
      <c r="O590" s="68">
        <f>SUM(N590*D590)/1000</f>
        <v>0.12</v>
      </c>
    </row>
    <row r="591" spans="1:15" x14ac:dyDescent="0.25">
      <c r="A591" s="782"/>
      <c r="B591" s="107" t="s">
        <v>49</v>
      </c>
      <c r="C591" s="107"/>
      <c r="D591" s="63">
        <v>10</v>
      </c>
      <c r="E591" s="63">
        <v>10</v>
      </c>
      <c r="F591" s="63">
        <v>0</v>
      </c>
      <c r="G591" s="63">
        <v>0</v>
      </c>
      <c r="H591" s="63">
        <v>9.98</v>
      </c>
      <c r="I591" s="63">
        <v>37.9</v>
      </c>
      <c r="J591" s="96">
        <v>0</v>
      </c>
      <c r="K591" s="126"/>
      <c r="L591" s="799"/>
      <c r="M591" s="64"/>
      <c r="N591" s="114">
        <v>50.7</v>
      </c>
      <c r="O591" s="68">
        <f>SUM(N591*D591)/1000</f>
        <v>0.50700000000000001</v>
      </c>
    </row>
    <row r="592" spans="1:15" x14ac:dyDescent="0.25">
      <c r="A592" s="782"/>
      <c r="B592" s="107" t="s">
        <v>19</v>
      </c>
      <c r="C592" s="107"/>
      <c r="D592" s="63">
        <v>150</v>
      </c>
      <c r="E592" s="63">
        <v>150</v>
      </c>
      <c r="F592" s="63">
        <v>0</v>
      </c>
      <c r="G592" s="63">
        <v>0</v>
      </c>
      <c r="H592" s="63">
        <v>0</v>
      </c>
      <c r="I592" s="63">
        <v>0</v>
      </c>
      <c r="J592" s="96">
        <v>0</v>
      </c>
      <c r="K592" s="126"/>
      <c r="L592" s="799"/>
      <c r="M592" s="64"/>
      <c r="N592" s="114">
        <v>160.13999999999999</v>
      </c>
      <c r="O592" s="68">
        <f>SUM(N592*D592)/1000</f>
        <v>24.020999999999997</v>
      </c>
    </row>
    <row r="593" spans="1:15" x14ac:dyDescent="0.25">
      <c r="A593" s="782"/>
      <c r="B593" s="107"/>
      <c r="C593" s="107"/>
      <c r="D593" s="63"/>
      <c r="E593" s="63"/>
      <c r="F593" s="274">
        <f>SUM(F588:F592)</f>
        <v>0.06</v>
      </c>
      <c r="G593" s="274">
        <f>SUM(G588:G592)</f>
        <v>0</v>
      </c>
      <c r="H593" s="274">
        <f>SUM(H588:H592)</f>
        <v>10.0007</v>
      </c>
      <c r="I593" s="274">
        <f>SUM(I588:I592)</f>
        <v>38.355399999999996</v>
      </c>
      <c r="J593" s="274">
        <f>SUM(J588:J592)</f>
        <v>0.03</v>
      </c>
      <c r="K593" s="153"/>
      <c r="L593" s="799"/>
      <c r="M593" s="64"/>
      <c r="N593" s="114">
        <v>0</v>
      </c>
      <c r="O593" s="68">
        <f>SUM(N593*D593)/1000</f>
        <v>0</v>
      </c>
    </row>
    <row r="594" spans="1:15" hidden="1" x14ac:dyDescent="0.25">
      <c r="A594" s="801" t="s">
        <v>208</v>
      </c>
      <c r="B594" s="138"/>
      <c r="C594" s="196"/>
      <c r="D594" s="100"/>
      <c r="E594" s="100"/>
      <c r="F594" s="148"/>
      <c r="G594" s="148"/>
      <c r="H594" s="148"/>
      <c r="I594" s="148"/>
      <c r="J594" s="149"/>
      <c r="K594" s="162"/>
      <c r="L594" s="799"/>
      <c r="M594" s="64"/>
      <c r="N594" s="65"/>
      <c r="O594" s="67"/>
    </row>
    <row r="595" spans="1:15" ht="29.25" x14ac:dyDescent="0.25">
      <c r="A595" s="802"/>
      <c r="B595" s="384" t="s">
        <v>267</v>
      </c>
      <c r="C595" s="390">
        <v>180</v>
      </c>
      <c r="D595" s="391"/>
      <c r="E595" s="340"/>
      <c r="F595" s="412">
        <v>0</v>
      </c>
      <c r="G595" s="412">
        <v>0</v>
      </c>
      <c r="H595" s="412">
        <v>19.98</v>
      </c>
      <c r="I595" s="413">
        <v>104</v>
      </c>
      <c r="J595" s="414">
        <v>0.24</v>
      </c>
      <c r="K595" s="485" t="s">
        <v>268</v>
      </c>
      <c r="L595" s="799"/>
      <c r="M595" s="301">
        <v>100</v>
      </c>
      <c r="N595" s="79">
        <v>60.94</v>
      </c>
      <c r="O595" s="315">
        <f>SUM(D595*N595)/1000</f>
        <v>0</v>
      </c>
    </row>
    <row r="596" spans="1:15" ht="30" x14ac:dyDescent="0.25">
      <c r="A596" s="802"/>
      <c r="B596" s="382" t="s">
        <v>269</v>
      </c>
      <c r="C596" s="343"/>
      <c r="D596" s="340">
        <v>18</v>
      </c>
      <c r="E596" s="340">
        <v>18</v>
      </c>
      <c r="F596" s="340">
        <v>0</v>
      </c>
      <c r="G596" s="340">
        <v>0</v>
      </c>
      <c r="H596" s="340">
        <v>0</v>
      </c>
      <c r="I596" s="345">
        <v>28.2</v>
      </c>
      <c r="J596" s="346">
        <v>0.04</v>
      </c>
      <c r="K596" s="480"/>
      <c r="L596" s="799"/>
      <c r="M596" s="399"/>
      <c r="N596" s="79"/>
      <c r="O596" s="315"/>
    </row>
    <row r="597" spans="1:15" x14ac:dyDescent="0.25">
      <c r="A597" s="802"/>
      <c r="B597" s="382" t="s">
        <v>230</v>
      </c>
      <c r="C597" s="343"/>
      <c r="D597" s="340">
        <v>10</v>
      </c>
      <c r="E597" s="340">
        <v>10</v>
      </c>
      <c r="F597" s="340">
        <v>0</v>
      </c>
      <c r="G597" s="340">
        <v>0</v>
      </c>
      <c r="H597" s="340">
        <v>19.98</v>
      </c>
      <c r="I597" s="345">
        <v>75.8</v>
      </c>
      <c r="J597" s="346">
        <v>0</v>
      </c>
      <c r="K597" s="480"/>
      <c r="L597" s="799"/>
      <c r="M597" s="399"/>
      <c r="N597" s="79"/>
      <c r="O597" s="315"/>
    </row>
    <row r="598" spans="1:15" x14ac:dyDescent="0.25">
      <c r="A598" s="802"/>
      <c r="B598" s="382" t="s">
        <v>229</v>
      </c>
      <c r="C598" s="343"/>
      <c r="D598" s="340">
        <v>180</v>
      </c>
      <c r="E598" s="340">
        <v>180</v>
      </c>
      <c r="F598" s="340">
        <v>0</v>
      </c>
      <c r="G598" s="340">
        <v>0</v>
      </c>
      <c r="H598" s="340">
        <v>0</v>
      </c>
      <c r="I598" s="345">
        <v>0</v>
      </c>
      <c r="J598" s="346">
        <v>0</v>
      </c>
      <c r="K598" s="480"/>
      <c r="L598" s="799"/>
      <c r="M598" s="399"/>
      <c r="N598" s="79"/>
      <c r="O598" s="315"/>
    </row>
    <row r="599" spans="1:15" x14ac:dyDescent="0.25">
      <c r="A599" s="803"/>
      <c r="B599" s="138" t="s">
        <v>57</v>
      </c>
      <c r="C599" s="150"/>
      <c r="D599" s="63"/>
      <c r="E599" s="63"/>
      <c r="F599" s="314">
        <f>SUM(F580,F586,F593,F594:F595)</f>
        <v>8.1850000000000005</v>
      </c>
      <c r="G599" s="314">
        <f t="shared" ref="G599:J599" si="55">SUM(G580,G586,G593,G594:G595)</f>
        <v>9.6349999999999998</v>
      </c>
      <c r="H599" s="314">
        <f t="shared" si="55"/>
        <v>103.1087</v>
      </c>
      <c r="I599" s="314">
        <f t="shared" si="55"/>
        <v>581.70540000000005</v>
      </c>
      <c r="J599" s="314">
        <f t="shared" si="55"/>
        <v>1.6350000000000002</v>
      </c>
      <c r="K599" s="245"/>
      <c r="L599" s="800"/>
      <c r="M599" s="34">
        <f>SUM(M580:M595)</f>
        <v>522</v>
      </c>
      <c r="N599" s="246"/>
      <c r="O599" s="314">
        <f>SUM(O580,O586,O593,O594:O595)</f>
        <v>0</v>
      </c>
    </row>
    <row r="600" spans="1:15" x14ac:dyDescent="0.25">
      <c r="A600" s="5" t="s">
        <v>150</v>
      </c>
      <c r="B600" s="13"/>
      <c r="C600" s="4"/>
      <c r="D600" s="105"/>
      <c r="E600" s="106"/>
      <c r="F600" s="51"/>
      <c r="G600" s="51"/>
      <c r="H600" s="51"/>
      <c r="I600" s="51"/>
      <c r="J600" s="53"/>
      <c r="K600" s="126"/>
      <c r="L600" s="475"/>
      <c r="M600" s="65"/>
      <c r="N600" s="65"/>
      <c r="O600" s="64"/>
    </row>
    <row r="601" spans="1:15" ht="45" x14ac:dyDescent="0.25">
      <c r="A601" s="801"/>
      <c r="B601" s="436" t="s">
        <v>156</v>
      </c>
      <c r="C601" s="140">
        <v>200</v>
      </c>
      <c r="D601" s="154"/>
      <c r="E601" s="154"/>
      <c r="F601" s="63"/>
      <c r="G601" s="63"/>
      <c r="H601" s="63"/>
      <c r="I601" s="63"/>
      <c r="J601" s="96"/>
      <c r="K601" s="125" t="s">
        <v>157</v>
      </c>
      <c r="L601" s="798" t="s">
        <v>29</v>
      </c>
      <c r="M601" s="64">
        <v>200</v>
      </c>
      <c r="N601" s="65"/>
      <c r="O601" s="64"/>
    </row>
    <row r="602" spans="1:15" x14ac:dyDescent="0.25">
      <c r="A602" s="802"/>
      <c r="B602" s="96" t="s">
        <v>158</v>
      </c>
      <c r="C602" s="96"/>
      <c r="D602" s="63">
        <v>34</v>
      </c>
      <c r="E602" s="63">
        <v>27.3</v>
      </c>
      <c r="F602" s="102">
        <v>0.48</v>
      </c>
      <c r="G602" s="63">
        <v>3.2000000000000001E-2</v>
      </c>
      <c r="H602" s="63">
        <v>2.8159999999999998</v>
      </c>
      <c r="I602" s="63">
        <v>13.44</v>
      </c>
      <c r="J602" s="96">
        <v>3.2</v>
      </c>
      <c r="K602" s="126"/>
      <c r="L602" s="799"/>
      <c r="M602" s="64"/>
      <c r="N602" s="114">
        <v>25.38</v>
      </c>
      <c r="O602" s="68">
        <f t="shared" ref="O602:O613" si="56">SUM(N602*D602)/1000</f>
        <v>0.86291999999999991</v>
      </c>
    </row>
    <row r="603" spans="1:15" x14ac:dyDescent="0.25">
      <c r="A603" s="802"/>
      <c r="B603" s="96" t="s">
        <v>159</v>
      </c>
      <c r="C603" s="96"/>
      <c r="D603" s="63">
        <v>17.3</v>
      </c>
      <c r="E603" s="63">
        <v>14</v>
      </c>
      <c r="F603" s="59">
        <v>0.28799999999999998</v>
      </c>
      <c r="G603" s="51">
        <v>1.6E-2</v>
      </c>
      <c r="H603" s="51">
        <v>0.752</v>
      </c>
      <c r="I603" s="51">
        <v>4.4800000000000004</v>
      </c>
      <c r="J603" s="53">
        <v>7.2</v>
      </c>
      <c r="K603" s="126"/>
      <c r="L603" s="799"/>
      <c r="M603" s="64"/>
      <c r="N603" s="114">
        <v>20.7</v>
      </c>
      <c r="O603" s="68">
        <f t="shared" si="56"/>
        <v>0.35811000000000004</v>
      </c>
    </row>
    <row r="604" spans="1:15" x14ac:dyDescent="0.25">
      <c r="A604" s="802"/>
      <c r="B604" s="96" t="s">
        <v>36</v>
      </c>
      <c r="C604" s="96"/>
      <c r="D604" s="63">
        <v>31.3</v>
      </c>
      <c r="E604" s="63">
        <v>23.3</v>
      </c>
      <c r="F604" s="102">
        <v>0.31</v>
      </c>
      <c r="G604" s="63">
        <v>6.4000000000000001E-2</v>
      </c>
      <c r="H604" s="63">
        <v>2.6080000000000001</v>
      </c>
      <c r="I604" s="63">
        <v>12.32</v>
      </c>
      <c r="J604" s="96">
        <v>3.2</v>
      </c>
      <c r="K604" s="126"/>
      <c r="L604" s="799"/>
      <c r="M604" s="64"/>
      <c r="N604" s="114">
        <v>21.89</v>
      </c>
      <c r="O604" s="68">
        <f t="shared" si="56"/>
        <v>0.68515700000000002</v>
      </c>
    </row>
    <row r="605" spans="1:15" x14ac:dyDescent="0.25">
      <c r="A605" s="802"/>
      <c r="B605" s="96" t="s">
        <v>59</v>
      </c>
      <c r="C605" s="96"/>
      <c r="D605" s="63">
        <v>13.3</v>
      </c>
      <c r="E605" s="63">
        <v>10</v>
      </c>
      <c r="F605" s="63">
        <v>0.104</v>
      </c>
      <c r="G605" s="63">
        <v>8.0000000000000002E-3</v>
      </c>
      <c r="H605" s="63">
        <v>0.55200000000000005</v>
      </c>
      <c r="I605" s="63">
        <v>2.8</v>
      </c>
      <c r="J605" s="96">
        <v>0.4</v>
      </c>
      <c r="K605" s="126"/>
      <c r="L605" s="799"/>
      <c r="M605" s="64"/>
      <c r="N605" s="114">
        <v>38.5</v>
      </c>
      <c r="O605" s="68">
        <f t="shared" si="56"/>
        <v>0.51205000000000012</v>
      </c>
    </row>
    <row r="606" spans="1:15" x14ac:dyDescent="0.25">
      <c r="A606" s="802"/>
      <c r="B606" s="96" t="s">
        <v>32</v>
      </c>
      <c r="C606" s="96"/>
      <c r="D606" s="63">
        <v>10</v>
      </c>
      <c r="E606" s="63">
        <v>8</v>
      </c>
      <c r="F606" s="63">
        <v>0.112</v>
      </c>
      <c r="G606" s="63">
        <v>1.6E-2</v>
      </c>
      <c r="H606" s="63">
        <v>0.65600000000000003</v>
      </c>
      <c r="I606" s="63">
        <v>0.28000000000000003</v>
      </c>
      <c r="J606" s="96">
        <v>0.8</v>
      </c>
      <c r="K606" s="126"/>
      <c r="L606" s="799"/>
      <c r="M606" s="64"/>
      <c r="N606" s="114">
        <v>21.98</v>
      </c>
      <c r="O606" s="68">
        <f t="shared" si="56"/>
        <v>0.21980000000000002</v>
      </c>
    </row>
    <row r="607" spans="1:15" x14ac:dyDescent="0.25">
      <c r="A607" s="802"/>
      <c r="B607" s="96" t="s">
        <v>60</v>
      </c>
      <c r="C607" s="96"/>
      <c r="D607" s="63">
        <v>2.7</v>
      </c>
      <c r="E607" s="63">
        <v>2.7</v>
      </c>
      <c r="F607" s="102">
        <v>0.28799999999999998</v>
      </c>
      <c r="G607" s="63">
        <v>0</v>
      </c>
      <c r="H607" s="63">
        <v>1.1399999999999999</v>
      </c>
      <c r="I607" s="63">
        <v>6.12</v>
      </c>
      <c r="J607" s="96">
        <v>2.7</v>
      </c>
      <c r="K607" s="126"/>
      <c r="L607" s="799"/>
      <c r="M607" s="64"/>
      <c r="N607" s="114">
        <v>120</v>
      </c>
      <c r="O607" s="68">
        <f t="shared" si="56"/>
        <v>0.32400000000000001</v>
      </c>
    </row>
    <row r="608" spans="1:15" x14ac:dyDescent="0.25">
      <c r="A608" s="802"/>
      <c r="B608" s="96" t="s">
        <v>37</v>
      </c>
      <c r="C608" s="96"/>
      <c r="D608" s="63">
        <v>4</v>
      </c>
      <c r="E608" s="63">
        <v>4</v>
      </c>
      <c r="F608" s="102">
        <v>0</v>
      </c>
      <c r="G608" s="63">
        <v>3.996</v>
      </c>
      <c r="H608" s="63">
        <v>0</v>
      </c>
      <c r="I608" s="63">
        <v>35.96</v>
      </c>
      <c r="J608" s="96">
        <v>0</v>
      </c>
      <c r="K608" s="126"/>
      <c r="L608" s="799"/>
      <c r="M608" s="64"/>
      <c r="N608" s="114">
        <v>92.2</v>
      </c>
      <c r="O608" s="68">
        <f t="shared" si="56"/>
        <v>0.36880000000000002</v>
      </c>
    </row>
    <row r="609" spans="1:18" x14ac:dyDescent="0.25">
      <c r="A609" s="802"/>
      <c r="B609" s="96" t="s">
        <v>49</v>
      </c>
      <c r="C609" s="96"/>
      <c r="D609" s="63">
        <v>2</v>
      </c>
      <c r="E609" s="63">
        <v>2</v>
      </c>
      <c r="F609" s="102">
        <v>0</v>
      </c>
      <c r="G609" s="63">
        <v>0</v>
      </c>
      <c r="H609" s="63">
        <v>1.996</v>
      </c>
      <c r="I609" s="63">
        <v>7.58</v>
      </c>
      <c r="J609" s="96">
        <v>0</v>
      </c>
      <c r="K609" s="126"/>
      <c r="L609" s="799"/>
      <c r="M609" s="64"/>
      <c r="N609" s="114">
        <v>50.7</v>
      </c>
      <c r="O609" s="68">
        <f t="shared" si="56"/>
        <v>0.1014</v>
      </c>
    </row>
    <row r="610" spans="1:18" x14ac:dyDescent="0.25">
      <c r="A610" s="802"/>
      <c r="B610" s="96" t="s">
        <v>19</v>
      </c>
      <c r="C610" s="96"/>
      <c r="D610" s="63">
        <v>160</v>
      </c>
      <c r="E610" s="63">
        <v>160</v>
      </c>
      <c r="F610" s="102">
        <v>0</v>
      </c>
      <c r="G610" s="63">
        <v>0</v>
      </c>
      <c r="H610" s="63">
        <v>0</v>
      </c>
      <c r="I610" s="63">
        <v>0</v>
      </c>
      <c r="J610" s="96">
        <v>0</v>
      </c>
      <c r="K610" s="126"/>
      <c r="L610" s="799"/>
      <c r="M610" s="64"/>
      <c r="N610" s="114">
        <v>0</v>
      </c>
      <c r="O610" s="68">
        <f t="shared" si="56"/>
        <v>0</v>
      </c>
    </row>
    <row r="611" spans="1:18" x14ac:dyDescent="0.25">
      <c r="A611" s="802"/>
      <c r="B611" s="96" t="s">
        <v>61</v>
      </c>
      <c r="C611" s="96"/>
      <c r="D611" s="63">
        <v>7.0000000000000001E-3</v>
      </c>
      <c r="E611" s="63">
        <v>7.0000000000000001E-3</v>
      </c>
      <c r="F611" s="102">
        <v>0</v>
      </c>
      <c r="G611" s="63">
        <v>0</v>
      </c>
      <c r="H611" s="63">
        <v>0</v>
      </c>
      <c r="I611" s="63">
        <v>0</v>
      </c>
      <c r="J611" s="96">
        <v>0</v>
      </c>
      <c r="K611" s="126"/>
      <c r="L611" s="799"/>
      <c r="M611" s="64"/>
      <c r="N611" s="114">
        <v>550</v>
      </c>
      <c r="O611" s="68">
        <f t="shared" si="56"/>
        <v>3.8500000000000001E-3</v>
      </c>
    </row>
    <row r="612" spans="1:18" x14ac:dyDescent="0.25">
      <c r="A612" s="802"/>
      <c r="B612" s="96" t="s">
        <v>112</v>
      </c>
      <c r="C612" s="96"/>
      <c r="D612" s="63">
        <v>1.2</v>
      </c>
      <c r="E612" s="63">
        <v>1.2</v>
      </c>
      <c r="F612" s="102">
        <v>0</v>
      </c>
      <c r="G612" s="63">
        <v>0</v>
      </c>
      <c r="H612" s="63">
        <v>0</v>
      </c>
      <c r="I612" s="63">
        <v>0</v>
      </c>
      <c r="J612" s="96">
        <v>0</v>
      </c>
      <c r="K612" s="126"/>
      <c r="L612" s="799"/>
      <c r="M612" s="64"/>
      <c r="N612" s="114">
        <v>16.62</v>
      </c>
      <c r="O612" s="68">
        <f t="shared" si="56"/>
        <v>1.9944E-2</v>
      </c>
    </row>
    <row r="613" spans="1:18" x14ac:dyDescent="0.25">
      <c r="A613" s="802"/>
      <c r="B613" s="96" t="s">
        <v>62</v>
      </c>
      <c r="C613" s="96"/>
      <c r="D613" s="63">
        <v>4</v>
      </c>
      <c r="E613" s="63">
        <v>4</v>
      </c>
      <c r="F613" s="63">
        <v>0.1</v>
      </c>
      <c r="G613" s="63">
        <v>0.6</v>
      </c>
      <c r="H613" s="63">
        <v>0.13600000000000001</v>
      </c>
      <c r="I613" s="63">
        <v>8.24</v>
      </c>
      <c r="J613" s="96">
        <v>1.2E-2</v>
      </c>
      <c r="K613" s="126"/>
      <c r="L613" s="799"/>
      <c r="M613" s="64"/>
      <c r="N613" s="114">
        <v>153</v>
      </c>
      <c r="O613" s="68">
        <f t="shared" si="56"/>
        <v>0.61199999999999999</v>
      </c>
    </row>
    <row r="614" spans="1:18" x14ac:dyDescent="0.25">
      <c r="A614" s="802"/>
      <c r="B614" s="248"/>
      <c r="C614" s="248"/>
      <c r="D614" s="63"/>
      <c r="E614" s="63"/>
      <c r="F614" s="192">
        <f>SUM(F602:F613)</f>
        <v>1.6820000000000004</v>
      </c>
      <c r="G614" s="192">
        <f>SUM(G602:G613)</f>
        <v>4.7319999999999993</v>
      </c>
      <c r="H614" s="192">
        <f>SUM(H602:H613)</f>
        <v>10.655999999999999</v>
      </c>
      <c r="I614" s="192">
        <f>SUM(I602:I613)</f>
        <v>91.22</v>
      </c>
      <c r="J614" s="193">
        <f>SUM(J602:J613)</f>
        <v>17.512000000000004</v>
      </c>
      <c r="K614" s="156"/>
      <c r="L614" s="799"/>
      <c r="M614" s="64"/>
      <c r="N614" s="65"/>
      <c r="O614" s="72">
        <f>SUM(O602:O613)</f>
        <v>4.0680309999999995</v>
      </c>
    </row>
    <row r="615" spans="1:18" ht="19.5" customHeight="1" x14ac:dyDescent="0.25">
      <c r="A615" s="802"/>
      <c r="B615" s="435" t="s">
        <v>63</v>
      </c>
      <c r="C615" s="124">
        <v>70</v>
      </c>
      <c r="D615" s="13"/>
      <c r="E615" s="13"/>
      <c r="F615" s="13"/>
      <c r="G615" s="13"/>
      <c r="H615" s="13"/>
      <c r="I615" s="13"/>
      <c r="J615" s="96"/>
      <c r="K615" s="108" t="s">
        <v>64</v>
      </c>
      <c r="L615" s="799"/>
      <c r="M615" s="64">
        <v>70</v>
      </c>
      <c r="N615" s="65"/>
      <c r="O615" s="64"/>
    </row>
    <row r="616" spans="1:18" x14ac:dyDescent="0.25">
      <c r="A616" s="802"/>
      <c r="B616" s="107" t="s">
        <v>65</v>
      </c>
      <c r="C616" s="107"/>
      <c r="D616" s="63">
        <v>52</v>
      </c>
      <c r="E616" s="63">
        <v>38</v>
      </c>
      <c r="F616" s="63">
        <v>6.99</v>
      </c>
      <c r="G616" s="63">
        <v>6.0190000000000001</v>
      </c>
      <c r="H616" s="63">
        <v>0</v>
      </c>
      <c r="I616" s="63">
        <v>82.16</v>
      </c>
      <c r="J616" s="96">
        <v>0</v>
      </c>
      <c r="K616" s="136"/>
      <c r="L616" s="804"/>
      <c r="M616" s="64"/>
      <c r="N616" s="114">
        <v>368.17</v>
      </c>
      <c r="O616" s="68">
        <f t="shared" ref="O616:O621" si="57">SUM(N616*D616)/1000</f>
        <v>19.144839999999999</v>
      </c>
      <c r="P616" s="299"/>
      <c r="Q616" s="299"/>
      <c r="R616" s="299"/>
    </row>
    <row r="617" spans="1:18" x14ac:dyDescent="0.25">
      <c r="A617" s="802"/>
      <c r="B617" s="107" t="s">
        <v>40</v>
      </c>
      <c r="C617" s="107"/>
      <c r="D617" s="63">
        <v>8</v>
      </c>
      <c r="E617" s="63">
        <v>8</v>
      </c>
      <c r="F617" s="63">
        <v>0.81</v>
      </c>
      <c r="G617" s="63">
        <v>8.5999999999999993E-2</v>
      </c>
      <c r="H617" s="63">
        <v>5.43</v>
      </c>
      <c r="I617" s="63">
        <v>26.28</v>
      </c>
      <c r="J617" s="96">
        <v>0</v>
      </c>
      <c r="K617" s="152"/>
      <c r="L617" s="804"/>
      <c r="M617" s="64"/>
      <c r="N617" s="114">
        <v>35</v>
      </c>
      <c r="O617" s="68">
        <f t="shared" si="57"/>
        <v>0.28000000000000003</v>
      </c>
      <c r="P617" s="299"/>
      <c r="Q617" s="299"/>
      <c r="R617" s="299"/>
    </row>
    <row r="618" spans="1:18" x14ac:dyDescent="0.25">
      <c r="A618" s="802"/>
      <c r="B618" s="107" t="s">
        <v>66</v>
      </c>
      <c r="C618" s="107"/>
      <c r="D618" s="63">
        <v>11</v>
      </c>
      <c r="E618" s="63">
        <v>11</v>
      </c>
      <c r="F618" s="63">
        <v>0.29399999999999998</v>
      </c>
      <c r="G618" s="63">
        <v>0.33600000000000002</v>
      </c>
      <c r="H618" s="63">
        <v>0.49299999999999999</v>
      </c>
      <c r="I618" s="63">
        <v>6.09</v>
      </c>
      <c r="J618" s="96">
        <v>0.13600000000000001</v>
      </c>
      <c r="K618" s="152"/>
      <c r="L618" s="804"/>
      <c r="M618" s="64"/>
      <c r="N618" s="114">
        <v>43.22</v>
      </c>
      <c r="O618" s="68">
        <f t="shared" si="57"/>
        <v>0.47541999999999995</v>
      </c>
      <c r="P618" s="299"/>
      <c r="Q618" s="299"/>
      <c r="R618" s="299"/>
    </row>
    <row r="619" spans="1:18" x14ac:dyDescent="0.25">
      <c r="A619" s="802"/>
      <c r="B619" s="116" t="s">
        <v>67</v>
      </c>
      <c r="C619" s="107"/>
      <c r="D619" s="63"/>
      <c r="E619" s="63"/>
      <c r="F619" s="63"/>
      <c r="G619" s="63"/>
      <c r="H619" s="63"/>
      <c r="I619" s="63"/>
      <c r="J619" s="96"/>
      <c r="K619" s="152"/>
      <c r="L619" s="804"/>
      <c r="M619" s="64"/>
      <c r="N619" s="114">
        <v>0</v>
      </c>
      <c r="O619" s="68">
        <f t="shared" si="57"/>
        <v>0</v>
      </c>
      <c r="P619" s="299"/>
      <c r="Q619" s="299"/>
      <c r="R619" s="299"/>
    </row>
    <row r="620" spans="1:18" x14ac:dyDescent="0.25">
      <c r="A620" s="802"/>
      <c r="B620" s="107" t="s">
        <v>32</v>
      </c>
      <c r="C620" s="107"/>
      <c r="D620" s="63">
        <v>31</v>
      </c>
      <c r="E620" s="63">
        <v>28</v>
      </c>
      <c r="F620" s="63">
        <v>0.35499999999999998</v>
      </c>
      <c r="G620" s="63">
        <v>0.05</v>
      </c>
      <c r="H620" s="63">
        <v>2.08</v>
      </c>
      <c r="I620" s="63">
        <v>10.4</v>
      </c>
      <c r="J620" s="96">
        <v>2.5369999999999999</v>
      </c>
      <c r="K620" s="152"/>
      <c r="L620" s="804"/>
      <c r="M620" s="64"/>
      <c r="N620" s="114">
        <v>21.98</v>
      </c>
      <c r="O620" s="68">
        <f t="shared" si="57"/>
        <v>0.68137999999999999</v>
      </c>
      <c r="P620" s="299"/>
      <c r="Q620" s="299"/>
      <c r="R620" s="299"/>
    </row>
    <row r="621" spans="1:18" x14ac:dyDescent="0.25">
      <c r="A621" s="802"/>
      <c r="B621" s="107" t="s">
        <v>37</v>
      </c>
      <c r="C621" s="107"/>
      <c r="D621" s="63">
        <v>4</v>
      </c>
      <c r="E621" s="63">
        <v>4</v>
      </c>
      <c r="F621" s="63">
        <v>0</v>
      </c>
      <c r="G621" s="63">
        <v>3.9260000000000002</v>
      </c>
      <c r="H621" s="63">
        <v>0</v>
      </c>
      <c r="I621" s="63">
        <v>35.33</v>
      </c>
      <c r="J621" s="96">
        <v>0</v>
      </c>
      <c r="K621" s="152"/>
      <c r="L621" s="804"/>
      <c r="M621" s="64"/>
      <c r="N621" s="114">
        <v>92.2</v>
      </c>
      <c r="O621" s="68">
        <f t="shared" si="57"/>
        <v>0.36880000000000002</v>
      </c>
      <c r="P621" s="299"/>
      <c r="Q621" s="299"/>
      <c r="R621" s="299"/>
    </row>
    <row r="622" spans="1:18" x14ac:dyDescent="0.25">
      <c r="A622" s="802"/>
      <c r="B622" s="107" t="s">
        <v>34</v>
      </c>
      <c r="C622" s="107"/>
      <c r="D622" s="195">
        <v>5</v>
      </c>
      <c r="E622" s="63" t="s">
        <v>190</v>
      </c>
      <c r="F622" s="63">
        <v>0.63</v>
      </c>
      <c r="G622" s="63">
        <v>0.56999999999999995</v>
      </c>
      <c r="H622" s="63">
        <v>0.04</v>
      </c>
      <c r="I622" s="63">
        <v>7.85</v>
      </c>
      <c r="J622" s="96">
        <v>0</v>
      </c>
      <c r="K622" s="152"/>
      <c r="L622" s="804"/>
      <c r="M622" s="64"/>
      <c r="N622" s="114">
        <v>4.6900000000000004</v>
      </c>
      <c r="O622" s="68">
        <f>SUM(N622*D622)/40</f>
        <v>0.58625000000000005</v>
      </c>
      <c r="P622" s="299"/>
      <c r="Q622" s="299"/>
      <c r="R622" s="299"/>
    </row>
    <row r="623" spans="1:18" x14ac:dyDescent="0.25">
      <c r="A623" s="802"/>
      <c r="B623" s="107" t="s">
        <v>68</v>
      </c>
      <c r="C623" s="107"/>
      <c r="D623" s="63">
        <v>6</v>
      </c>
      <c r="E623" s="63">
        <v>6</v>
      </c>
      <c r="F623" s="63">
        <v>0.72</v>
      </c>
      <c r="G623" s="63">
        <v>0.12</v>
      </c>
      <c r="H623" s="63">
        <v>3.66</v>
      </c>
      <c r="I623" s="63">
        <v>18.600000000000001</v>
      </c>
      <c r="J623" s="96">
        <v>0</v>
      </c>
      <c r="K623" s="152"/>
      <c r="L623" s="804"/>
      <c r="M623" s="64"/>
      <c r="N623" s="114">
        <v>60.5</v>
      </c>
      <c r="O623" s="68">
        <f>SUM(N623*D623)/1000</f>
        <v>0.36299999999999999</v>
      </c>
      <c r="P623" s="299"/>
      <c r="Q623" s="299"/>
      <c r="R623" s="299"/>
    </row>
    <row r="624" spans="1:18" x14ac:dyDescent="0.25">
      <c r="A624" s="802"/>
      <c r="B624" s="107" t="s">
        <v>37</v>
      </c>
      <c r="C624" s="107"/>
      <c r="D624" s="63">
        <v>4</v>
      </c>
      <c r="E624" s="63">
        <v>4</v>
      </c>
      <c r="F624" s="63">
        <v>0</v>
      </c>
      <c r="G624" s="63">
        <v>3.9260000000000002</v>
      </c>
      <c r="H624" s="63">
        <v>0</v>
      </c>
      <c r="I624" s="63">
        <v>35.33</v>
      </c>
      <c r="J624" s="96">
        <v>0</v>
      </c>
      <c r="K624" s="152"/>
      <c r="L624" s="804"/>
      <c r="M624" s="64"/>
      <c r="N624" s="114">
        <v>92.2</v>
      </c>
      <c r="O624" s="68">
        <f>SUM(N624*D624)/1000</f>
        <v>0.36880000000000002</v>
      </c>
      <c r="P624" s="299"/>
      <c r="Q624" s="299"/>
      <c r="R624" s="299"/>
    </row>
    <row r="625" spans="1:15" x14ac:dyDescent="0.25">
      <c r="A625" s="802"/>
      <c r="B625" s="107"/>
      <c r="C625" s="107"/>
      <c r="D625" s="63"/>
      <c r="E625" s="63"/>
      <c r="F625" s="118">
        <f>SUM(F616:F624)</f>
        <v>9.799000000000003</v>
      </c>
      <c r="G625" s="118">
        <f>SUM(G616:G624)</f>
        <v>15.033000000000001</v>
      </c>
      <c r="H625" s="118">
        <f>SUM(H616:H624)</f>
        <v>11.702999999999999</v>
      </c>
      <c r="I625" s="118">
        <f>SUM(I616:I624)</f>
        <v>222.03999999999996</v>
      </c>
      <c r="J625" s="119">
        <f>SUM(J616:J624)</f>
        <v>2.673</v>
      </c>
      <c r="K625" s="156"/>
      <c r="L625" s="799"/>
      <c r="M625" s="292"/>
      <c r="N625" s="79"/>
      <c r="O625" s="300">
        <f>SUM(O616:O624)</f>
        <v>22.26849</v>
      </c>
    </row>
    <row r="626" spans="1:15" ht="30" x14ac:dyDescent="0.25">
      <c r="A626" s="802"/>
      <c r="B626" s="435" t="s">
        <v>69</v>
      </c>
      <c r="C626" s="140">
        <v>120</v>
      </c>
      <c r="D626" s="154"/>
      <c r="E626" s="154"/>
      <c r="F626" s="63"/>
      <c r="G626" s="63"/>
      <c r="H626" s="63"/>
      <c r="I626" s="63"/>
      <c r="J626" s="96"/>
      <c r="K626" s="155" t="s">
        <v>70</v>
      </c>
      <c r="L626" s="799"/>
      <c r="M626" s="64">
        <v>150</v>
      </c>
      <c r="N626" s="65"/>
      <c r="O626" s="64"/>
    </row>
    <row r="627" spans="1:15" x14ac:dyDescent="0.25">
      <c r="A627" s="802"/>
      <c r="B627" s="96" t="s">
        <v>71</v>
      </c>
      <c r="C627" s="96"/>
      <c r="D627" s="63">
        <v>58.3</v>
      </c>
      <c r="E627" s="63">
        <v>57</v>
      </c>
      <c r="F627" s="102">
        <v>16.422000000000001</v>
      </c>
      <c r="G627" s="63">
        <v>1.1424000000000001</v>
      </c>
      <c r="H627" s="63">
        <v>36.2712</v>
      </c>
      <c r="I627" s="63">
        <v>224.196</v>
      </c>
      <c r="J627" s="96">
        <v>0</v>
      </c>
      <c r="K627" s="152"/>
      <c r="L627" s="799"/>
      <c r="M627" s="64"/>
      <c r="N627" s="114">
        <v>39.630000000000003</v>
      </c>
      <c r="O627" s="68">
        <f>SUM(N627*D627)/1000</f>
        <v>2.3104290000000001</v>
      </c>
    </row>
    <row r="628" spans="1:15" x14ac:dyDescent="0.25">
      <c r="A628" s="802"/>
      <c r="B628" s="107" t="s">
        <v>21</v>
      </c>
      <c r="C628" s="117"/>
      <c r="D628" s="100">
        <v>5.7</v>
      </c>
      <c r="E628" s="100">
        <v>5.7</v>
      </c>
      <c r="F628" s="63">
        <v>5.6800000000000003E-2</v>
      </c>
      <c r="G628" s="63">
        <v>5.1475</v>
      </c>
      <c r="H628" s="63">
        <v>9.2299999999999993E-2</v>
      </c>
      <c r="I628" s="63">
        <v>46.930999999999997</v>
      </c>
      <c r="J628" s="96">
        <v>0</v>
      </c>
      <c r="K628" s="152"/>
      <c r="L628" s="799"/>
      <c r="M628" s="64"/>
      <c r="N628" s="114">
        <v>376.98</v>
      </c>
      <c r="O628" s="68">
        <f>SUM(N628*D628)/1000</f>
        <v>2.1487859999999999</v>
      </c>
    </row>
    <row r="629" spans="1:15" x14ac:dyDescent="0.25">
      <c r="A629" s="802"/>
      <c r="B629" s="116"/>
      <c r="C629" s="107"/>
      <c r="D629" s="63"/>
      <c r="E629" s="63"/>
      <c r="F629" s="127">
        <f>SUM(F627:F628)</f>
        <v>16.4788</v>
      </c>
      <c r="G629" s="127">
        <f>SUM(G627:G628)</f>
        <v>6.2899000000000003</v>
      </c>
      <c r="H629" s="127">
        <f>SUM(H627:H628)</f>
        <v>36.363500000000002</v>
      </c>
      <c r="I629" s="127">
        <f>SUM(I627:I628)</f>
        <v>271.12700000000001</v>
      </c>
      <c r="J629" s="119">
        <f>SUM(J627:J628)</f>
        <v>0</v>
      </c>
      <c r="K629" s="156"/>
      <c r="L629" s="799"/>
      <c r="M629" s="64"/>
      <c r="N629" s="65"/>
      <c r="O629" s="72">
        <f>SUM(O627:O628)</f>
        <v>4.4592150000000004</v>
      </c>
    </row>
    <row r="630" spans="1:15" ht="29.25" x14ac:dyDescent="0.25">
      <c r="A630" s="802"/>
      <c r="B630" s="410" t="s">
        <v>355</v>
      </c>
      <c r="C630" s="390">
        <v>200</v>
      </c>
      <c r="D630" s="391"/>
      <c r="E630" s="340"/>
      <c r="F630" s="412">
        <v>0</v>
      </c>
      <c r="G630" s="412">
        <v>0</v>
      </c>
      <c r="H630" s="412">
        <v>19.98</v>
      </c>
      <c r="I630" s="413">
        <v>104</v>
      </c>
      <c r="J630" s="414">
        <v>0.24</v>
      </c>
      <c r="K630" s="485" t="s">
        <v>356</v>
      </c>
      <c r="L630" s="799"/>
      <c r="M630" s="64">
        <v>180</v>
      </c>
      <c r="N630" s="65"/>
      <c r="O630" s="280"/>
    </row>
    <row r="631" spans="1:15" ht="18" customHeight="1" x14ac:dyDescent="0.25">
      <c r="A631" s="802"/>
      <c r="B631" s="342" t="s">
        <v>357</v>
      </c>
      <c r="C631" s="343"/>
      <c r="D631" s="340">
        <v>60</v>
      </c>
      <c r="E631" s="340">
        <v>60</v>
      </c>
      <c r="F631" s="340">
        <v>0</v>
      </c>
      <c r="G631" s="340">
        <v>0</v>
      </c>
      <c r="H631" s="340">
        <v>0</v>
      </c>
      <c r="I631" s="345">
        <v>28.2</v>
      </c>
      <c r="J631" s="346">
        <v>0.04</v>
      </c>
      <c r="K631" s="480"/>
      <c r="L631" s="799"/>
      <c r="M631" s="64"/>
      <c r="N631" s="114">
        <v>100</v>
      </c>
      <c r="O631" s="68">
        <f>SUM(N631*D631)/1000</f>
        <v>6</v>
      </c>
    </row>
    <row r="632" spans="1:15" x14ac:dyDescent="0.25">
      <c r="A632" s="802"/>
      <c r="B632" s="342" t="s">
        <v>230</v>
      </c>
      <c r="C632" s="343"/>
      <c r="D632" s="340">
        <v>24</v>
      </c>
      <c r="E632" s="340">
        <v>24</v>
      </c>
      <c r="F632" s="340">
        <v>0</v>
      </c>
      <c r="G632" s="340">
        <v>0</v>
      </c>
      <c r="H632" s="340">
        <v>19.98</v>
      </c>
      <c r="I632" s="345">
        <v>75.8</v>
      </c>
      <c r="J632" s="346">
        <v>0</v>
      </c>
      <c r="K632" s="480"/>
      <c r="L632" s="799"/>
      <c r="M632" s="64"/>
      <c r="N632" s="114">
        <v>50.7</v>
      </c>
      <c r="O632" s="68">
        <f>SUM(N632*D632)/1000</f>
        <v>1.2168000000000001</v>
      </c>
    </row>
    <row r="633" spans="1:15" x14ac:dyDescent="0.25">
      <c r="A633" s="802"/>
      <c r="B633" s="342" t="s">
        <v>311</v>
      </c>
      <c r="C633" s="343"/>
      <c r="D633" s="340">
        <v>10</v>
      </c>
      <c r="E633" s="340">
        <v>10</v>
      </c>
      <c r="F633" s="340">
        <v>0</v>
      </c>
      <c r="G633" s="340">
        <v>0</v>
      </c>
      <c r="H633" s="340">
        <v>0</v>
      </c>
      <c r="I633" s="345">
        <v>0</v>
      </c>
      <c r="J633" s="346">
        <v>0</v>
      </c>
      <c r="K633" s="480"/>
      <c r="L633" s="799"/>
      <c r="M633" s="64"/>
      <c r="N633" s="114">
        <v>0</v>
      </c>
      <c r="O633" s="68">
        <f>SUM(N633*D633)/1000</f>
        <v>0</v>
      </c>
    </row>
    <row r="634" spans="1:15" x14ac:dyDescent="0.25">
      <c r="A634" s="802"/>
      <c r="B634" s="342" t="s">
        <v>229</v>
      </c>
      <c r="C634" s="343"/>
      <c r="D634" s="340">
        <v>140</v>
      </c>
      <c r="E634" s="340">
        <v>140</v>
      </c>
      <c r="F634" s="340">
        <v>0</v>
      </c>
      <c r="G634" s="340">
        <v>0</v>
      </c>
      <c r="H634" s="340">
        <v>0</v>
      </c>
      <c r="I634" s="345">
        <v>0</v>
      </c>
      <c r="J634" s="346">
        <v>0</v>
      </c>
      <c r="K634" s="480"/>
      <c r="L634" s="799"/>
      <c r="M634" s="64"/>
      <c r="N634" s="114"/>
      <c r="O634" s="72">
        <f>SUM(O631:O633)</f>
        <v>7.2168000000000001</v>
      </c>
    </row>
    <row r="635" spans="1:15" x14ac:dyDescent="0.25">
      <c r="A635" s="802"/>
      <c r="B635" s="291" t="s">
        <v>40</v>
      </c>
      <c r="C635" s="124">
        <v>70</v>
      </c>
      <c r="D635" s="63">
        <v>70</v>
      </c>
      <c r="E635" s="63">
        <v>70</v>
      </c>
      <c r="F635" s="118">
        <v>3.85</v>
      </c>
      <c r="G635" s="118">
        <v>1.5</v>
      </c>
      <c r="H635" s="118">
        <v>24.9</v>
      </c>
      <c r="I635" s="118">
        <v>131</v>
      </c>
      <c r="J635" s="139">
        <v>0</v>
      </c>
      <c r="K635" s="153" t="s">
        <v>73</v>
      </c>
      <c r="L635" s="799"/>
      <c r="M635" s="64">
        <v>40</v>
      </c>
      <c r="N635" s="114">
        <v>35</v>
      </c>
      <c r="O635" s="72">
        <f>SUM(N635*D635)/1000</f>
        <v>2.4500000000000002</v>
      </c>
    </row>
    <row r="636" spans="1:15" x14ac:dyDescent="0.25">
      <c r="A636" s="803"/>
      <c r="B636" s="124" t="s">
        <v>153</v>
      </c>
      <c r="C636" s="124"/>
      <c r="D636" s="63"/>
      <c r="E636" s="63"/>
      <c r="F636" s="265">
        <f>SUM(F614,F625,F629,F630,F635)</f>
        <v>31.809800000000003</v>
      </c>
      <c r="G636" s="265">
        <f>SUM(G614,G625,G629,G630,G635)</f>
        <v>27.5549</v>
      </c>
      <c r="H636" s="265">
        <f>SUM(H614,H625,H629,H630,H635)</f>
        <v>103.60249999999999</v>
      </c>
      <c r="I636" s="265">
        <f>SUM(I614,I625,I629,I630,I635)</f>
        <v>819.38699999999994</v>
      </c>
      <c r="J636" s="265">
        <f>SUM(J614,J625,J629,J630,J635)</f>
        <v>20.425000000000001</v>
      </c>
      <c r="K636" s="251"/>
      <c r="L636" s="800"/>
      <c r="M636" s="35">
        <f>SUM(M601:M635)</f>
        <v>640</v>
      </c>
      <c r="N636" s="235"/>
      <c r="O636" s="36">
        <f>SUM(O614,O625,O629,O634:O635)</f>
        <v>40.462536</v>
      </c>
    </row>
    <row r="637" spans="1:15" x14ac:dyDescent="0.25">
      <c r="A637" s="5" t="s">
        <v>75</v>
      </c>
      <c r="B637" s="13"/>
      <c r="C637" s="4"/>
      <c r="D637" s="105"/>
      <c r="E637" s="106"/>
      <c r="F637" s="183"/>
      <c r="G637" s="183"/>
      <c r="H637" s="183"/>
      <c r="I637" s="183"/>
      <c r="J637" s="249"/>
      <c r="K637" s="250"/>
      <c r="L637" s="464"/>
      <c r="M637" s="64"/>
      <c r="N637" s="65"/>
      <c r="O637" s="64"/>
    </row>
    <row r="638" spans="1:15" x14ac:dyDescent="0.25">
      <c r="A638" s="781"/>
      <c r="B638" s="435" t="s">
        <v>99</v>
      </c>
      <c r="C638" s="124">
        <v>180</v>
      </c>
      <c r="D638" s="13"/>
      <c r="E638" s="13"/>
      <c r="F638" s="63"/>
      <c r="G638" s="63"/>
      <c r="H638" s="63"/>
      <c r="I638" s="63"/>
      <c r="J638" s="96"/>
      <c r="K638" s="155" t="s">
        <v>179</v>
      </c>
      <c r="L638" s="805"/>
      <c r="M638" s="77">
        <v>190</v>
      </c>
      <c r="N638" s="65"/>
      <c r="O638" s="64"/>
    </row>
    <row r="639" spans="1:15" x14ac:dyDescent="0.25">
      <c r="A639" s="782"/>
      <c r="B639" s="107" t="s">
        <v>100</v>
      </c>
      <c r="C639" s="107"/>
      <c r="D639" s="63">
        <v>2</v>
      </c>
      <c r="E639" s="63">
        <v>2</v>
      </c>
      <c r="F639" s="63">
        <v>0.48</v>
      </c>
      <c r="G639" s="63">
        <v>0.3</v>
      </c>
      <c r="H639" s="63">
        <v>0.20399999999999999</v>
      </c>
      <c r="I639" s="63">
        <v>5.78</v>
      </c>
      <c r="J639" s="231">
        <v>0</v>
      </c>
      <c r="K639" s="126"/>
      <c r="L639" s="806"/>
      <c r="M639" s="64"/>
      <c r="N639" s="114"/>
      <c r="O639" s="78"/>
    </row>
    <row r="640" spans="1:15" x14ac:dyDescent="0.25">
      <c r="A640" s="782"/>
      <c r="B640" s="107" t="s">
        <v>44</v>
      </c>
      <c r="C640" s="107"/>
      <c r="D640" s="63">
        <v>110</v>
      </c>
      <c r="E640" s="63">
        <v>110</v>
      </c>
      <c r="F640" s="63">
        <v>3.08</v>
      </c>
      <c r="G640" s="63">
        <v>3.52</v>
      </c>
      <c r="H640" s="63">
        <v>5.17</v>
      </c>
      <c r="I640" s="63">
        <v>63.8</v>
      </c>
      <c r="J640" s="96">
        <v>1.43</v>
      </c>
      <c r="K640" s="126"/>
      <c r="L640" s="806"/>
      <c r="M640" s="64"/>
      <c r="N640" s="114">
        <v>400</v>
      </c>
      <c r="O640" s="68">
        <f>SUM(N640*D640)/1000</f>
        <v>44</v>
      </c>
    </row>
    <row r="641" spans="1:15" x14ac:dyDescent="0.25">
      <c r="A641" s="782"/>
      <c r="B641" s="107" t="s">
        <v>49</v>
      </c>
      <c r="C641" s="107"/>
      <c r="D641" s="63">
        <v>10</v>
      </c>
      <c r="E641" s="63">
        <v>10</v>
      </c>
      <c r="F641" s="63">
        <v>0</v>
      </c>
      <c r="G641" s="63">
        <v>0</v>
      </c>
      <c r="H641" s="63">
        <v>9.98</v>
      </c>
      <c r="I641" s="63">
        <v>37.9</v>
      </c>
      <c r="J641" s="96">
        <v>0</v>
      </c>
      <c r="K641" s="126"/>
      <c r="L641" s="806"/>
      <c r="M641" s="64"/>
      <c r="N641" s="114">
        <v>0</v>
      </c>
      <c r="O641" s="68">
        <f>SUM(N641*D641)/1000</f>
        <v>0</v>
      </c>
    </row>
    <row r="642" spans="1:15" x14ac:dyDescent="0.25">
      <c r="A642" s="782"/>
      <c r="B642" s="107" t="s">
        <v>19</v>
      </c>
      <c r="C642" s="107"/>
      <c r="D642" s="63">
        <v>80</v>
      </c>
      <c r="E642" s="63">
        <v>80</v>
      </c>
      <c r="F642" s="63">
        <v>0</v>
      </c>
      <c r="G642" s="63">
        <v>0</v>
      </c>
      <c r="H642" s="63">
        <v>0</v>
      </c>
      <c r="I642" s="63">
        <v>0</v>
      </c>
      <c r="J642" s="96">
        <v>0</v>
      </c>
      <c r="K642" s="126"/>
      <c r="L642" s="806"/>
      <c r="M642" s="64"/>
      <c r="N642" s="114">
        <v>50.7</v>
      </c>
      <c r="O642" s="68">
        <f>SUM(N642*D642)/1000</f>
        <v>4.056</v>
      </c>
    </row>
    <row r="643" spans="1:15" x14ac:dyDescent="0.25">
      <c r="A643" s="782"/>
      <c r="B643" s="293"/>
      <c r="C643" s="124"/>
      <c r="D643" s="63"/>
      <c r="E643" s="63"/>
      <c r="F643" s="274">
        <f>SUM(F639:F642)</f>
        <v>3.56</v>
      </c>
      <c r="G643" s="274">
        <f t="shared" ref="G643:J643" si="58">SUM(G639:G642)</f>
        <v>3.82</v>
      </c>
      <c r="H643" s="274">
        <f t="shared" si="58"/>
        <v>15.353999999999999</v>
      </c>
      <c r="I643" s="274">
        <f t="shared" si="58"/>
        <v>107.47999999999999</v>
      </c>
      <c r="J643" s="274">
        <f t="shared" si="58"/>
        <v>1.43</v>
      </c>
      <c r="K643" s="169"/>
      <c r="L643" s="806"/>
      <c r="M643" s="65"/>
      <c r="N643" s="47"/>
      <c r="O643" s="274">
        <f>SUM(O639:O642)</f>
        <v>48.055999999999997</v>
      </c>
    </row>
    <row r="644" spans="1:15" ht="29.25" x14ac:dyDescent="0.25">
      <c r="A644" s="457"/>
      <c r="B644" s="338" t="s">
        <v>301</v>
      </c>
      <c r="C644" s="363">
        <v>130</v>
      </c>
      <c r="D644" s="340"/>
      <c r="E644" s="340"/>
      <c r="F644" s="417">
        <f>F645+F646+F647+F648</f>
        <v>8.64</v>
      </c>
      <c r="G644" s="417">
        <f>G645+G646+G647+G648</f>
        <v>10.126799999999999</v>
      </c>
      <c r="H644" s="417">
        <f>H645+H646+H647+H648</f>
        <v>25.914000000000001</v>
      </c>
      <c r="I644" s="417">
        <f>I645+I646+I647+I648</f>
        <v>438.6</v>
      </c>
      <c r="J644" s="417">
        <f>J645+J646+J647+J648</f>
        <v>1.04</v>
      </c>
      <c r="K644" s="480" t="s">
        <v>302</v>
      </c>
      <c r="L644" s="476"/>
      <c r="M644" s="65">
        <v>155</v>
      </c>
      <c r="N644" s="47"/>
      <c r="O644" s="325"/>
    </row>
    <row r="645" spans="1:15" x14ac:dyDescent="0.25">
      <c r="A645" s="457"/>
      <c r="B645" s="342" t="s">
        <v>303</v>
      </c>
      <c r="C645" s="343"/>
      <c r="D645" s="340">
        <v>36.4</v>
      </c>
      <c r="E645" s="340">
        <v>36.4</v>
      </c>
      <c r="F645" s="340">
        <v>3.8</v>
      </c>
      <c r="G645" s="340">
        <f>1.2*E645/100</f>
        <v>0.43680000000000002</v>
      </c>
      <c r="H645" s="340">
        <f>71*E645/100</f>
        <v>25.844000000000001</v>
      </c>
      <c r="I645" s="345">
        <v>123</v>
      </c>
      <c r="J645" s="346">
        <v>0.44</v>
      </c>
      <c r="K645" s="483"/>
      <c r="L645" s="476"/>
      <c r="M645" s="65"/>
      <c r="N645" s="114">
        <v>46.18</v>
      </c>
      <c r="O645" s="85">
        <f>SUM(D645*N645)/1000</f>
        <v>1.680952</v>
      </c>
    </row>
    <row r="646" spans="1:15" x14ac:dyDescent="0.25">
      <c r="A646" s="457"/>
      <c r="B646" s="406" t="s">
        <v>231</v>
      </c>
      <c r="C646" s="354"/>
      <c r="D646" s="340">
        <v>1.8</v>
      </c>
      <c r="E646" s="340">
        <v>1.8</v>
      </c>
      <c r="F646" s="340">
        <v>0</v>
      </c>
      <c r="G646" s="340">
        <v>0</v>
      </c>
      <c r="H646" s="340">
        <v>0</v>
      </c>
      <c r="I646" s="345">
        <v>0</v>
      </c>
      <c r="J646" s="346">
        <v>0</v>
      </c>
      <c r="K646" s="483"/>
      <c r="L646" s="476"/>
      <c r="M646" s="65"/>
      <c r="N646" s="114">
        <v>16.62</v>
      </c>
      <c r="O646" s="85">
        <f>SUM(D646*N646)/1000</f>
        <v>2.9916000000000005E-2</v>
      </c>
    </row>
    <row r="647" spans="1:15" ht="30" x14ac:dyDescent="0.25">
      <c r="A647" s="457"/>
      <c r="B647" s="342" t="s">
        <v>281</v>
      </c>
      <c r="C647" s="343"/>
      <c r="D647" s="340">
        <v>5</v>
      </c>
      <c r="E647" s="340">
        <v>5</v>
      </c>
      <c r="F647" s="340">
        <v>0.04</v>
      </c>
      <c r="G647" s="340">
        <v>3.6</v>
      </c>
      <c r="H647" s="340">
        <v>7.0000000000000007E-2</v>
      </c>
      <c r="I647" s="345">
        <v>240</v>
      </c>
      <c r="J647" s="346">
        <v>0</v>
      </c>
      <c r="K647" s="483"/>
      <c r="L647" s="476"/>
      <c r="M647" s="65"/>
      <c r="N647" s="114">
        <v>0</v>
      </c>
      <c r="O647" s="85">
        <f>SUM(D647*N647)/1000</f>
        <v>0</v>
      </c>
    </row>
    <row r="648" spans="1:15" x14ac:dyDescent="0.25">
      <c r="A648" s="457"/>
      <c r="B648" s="342" t="s">
        <v>304</v>
      </c>
      <c r="C648" s="343"/>
      <c r="D648" s="386">
        <v>22.9</v>
      </c>
      <c r="E648" s="386">
        <v>21</v>
      </c>
      <c r="F648" s="340">
        <v>4.8</v>
      </c>
      <c r="G648" s="340">
        <v>6.09</v>
      </c>
      <c r="H648" s="340">
        <v>0</v>
      </c>
      <c r="I648" s="345">
        <v>75.599999999999994</v>
      </c>
      <c r="J648" s="366">
        <v>0.6</v>
      </c>
      <c r="K648" s="483"/>
      <c r="L648" s="476"/>
      <c r="M648" s="65"/>
      <c r="N648" s="114">
        <v>0</v>
      </c>
      <c r="O648" s="85"/>
    </row>
    <row r="649" spans="1:15" x14ac:dyDescent="0.25">
      <c r="A649" s="457"/>
      <c r="B649" s="342" t="s">
        <v>229</v>
      </c>
      <c r="C649" s="415"/>
      <c r="D649" s="416">
        <v>218.5</v>
      </c>
      <c r="E649" s="416">
        <v>218.5</v>
      </c>
      <c r="F649" s="406">
        <v>0</v>
      </c>
      <c r="G649" s="340">
        <v>0</v>
      </c>
      <c r="H649" s="340">
        <v>0</v>
      </c>
      <c r="I649" s="345">
        <v>0</v>
      </c>
      <c r="J649" s="346">
        <v>0</v>
      </c>
      <c r="K649" s="483"/>
      <c r="L649" s="476"/>
      <c r="M649" s="65"/>
      <c r="N649" s="114">
        <v>376.98</v>
      </c>
      <c r="O649" s="85">
        <f>SUM(D649*N649)/1000</f>
        <v>82.370130000000003</v>
      </c>
    </row>
    <row r="650" spans="1:15" x14ac:dyDescent="0.25">
      <c r="A650" s="458"/>
      <c r="B650" s="124" t="s">
        <v>46</v>
      </c>
      <c r="C650" s="124"/>
      <c r="D650" s="13"/>
      <c r="E650" s="13"/>
      <c r="F650" s="282">
        <f>SUM(F643,F644)</f>
        <v>12.200000000000001</v>
      </c>
      <c r="G650" s="282">
        <f t="shared" ref="G650:J650" si="59">SUM(G643,G644)</f>
        <v>13.9468</v>
      </c>
      <c r="H650" s="282">
        <f t="shared" si="59"/>
        <v>41.268000000000001</v>
      </c>
      <c r="I650" s="282">
        <f t="shared" si="59"/>
        <v>546.08000000000004</v>
      </c>
      <c r="J650" s="282">
        <f t="shared" si="59"/>
        <v>2.4699999999999998</v>
      </c>
      <c r="K650" s="251"/>
      <c r="L650" s="476" t="s">
        <v>43</v>
      </c>
      <c r="M650" s="131">
        <f>SUM(M638:M649)</f>
        <v>345</v>
      </c>
      <c r="N650" s="235"/>
      <c r="O650" s="282">
        <f>SUM(O643,O644)</f>
        <v>48.055999999999997</v>
      </c>
    </row>
    <row r="651" spans="1:15" ht="25.5" x14ac:dyDescent="0.25">
      <c r="A651" s="10" t="s">
        <v>154</v>
      </c>
      <c r="B651" s="146"/>
      <c r="C651" s="146"/>
      <c r="D651" s="23"/>
      <c r="E651" s="23"/>
      <c r="F651" s="320">
        <f>SUM(F599,F636,F650)</f>
        <v>52.194800000000008</v>
      </c>
      <c r="G651" s="320">
        <f>SUM(G599,G636,G650)</f>
        <v>51.136700000000005</v>
      </c>
      <c r="H651" s="320">
        <f>SUM(H599,H636,H650)</f>
        <v>247.97919999999999</v>
      </c>
      <c r="I651" s="320">
        <f>SUM(I599,I636,I650)</f>
        <v>1947.1723999999999</v>
      </c>
      <c r="J651" s="320">
        <f>SUM(J599,J636,J650)</f>
        <v>24.53</v>
      </c>
      <c r="K651" s="30"/>
      <c r="L651" s="471"/>
      <c r="M651" s="31"/>
      <c r="N651" s="32"/>
      <c r="O651" s="33">
        <f>SUM(O599,O636,O650)</f>
        <v>88.518535999999997</v>
      </c>
    </row>
    <row r="652" spans="1:15" x14ac:dyDescent="0.25">
      <c r="A652" s="13" t="s">
        <v>155</v>
      </c>
      <c r="B652" s="13"/>
      <c r="C652" s="13"/>
      <c r="D652" s="51"/>
      <c r="E652" s="51"/>
      <c r="F652" s="183"/>
      <c r="G652" s="183"/>
      <c r="H652" s="183"/>
      <c r="I652" s="183"/>
      <c r="J652" s="184"/>
      <c r="K652" s="236"/>
      <c r="L652" s="464"/>
      <c r="M652" s="64"/>
      <c r="N652" s="65"/>
      <c r="O652" s="64"/>
    </row>
    <row r="653" spans="1:15" x14ac:dyDescent="0.25">
      <c r="A653" s="5" t="s">
        <v>140</v>
      </c>
      <c r="B653" s="13"/>
      <c r="C653" s="4"/>
      <c r="D653" s="105"/>
      <c r="E653" s="106"/>
      <c r="F653" s="183"/>
      <c r="G653" s="183"/>
      <c r="H653" s="183"/>
      <c r="I653" s="183"/>
      <c r="J653" s="184"/>
      <c r="K653" s="236"/>
      <c r="L653" s="464"/>
      <c r="M653" s="64"/>
      <c r="N653" s="65"/>
      <c r="O653" s="64"/>
    </row>
    <row r="654" spans="1:15" x14ac:dyDescent="0.25">
      <c r="A654" s="461"/>
      <c r="B654" s="793" t="s">
        <v>103</v>
      </c>
      <c r="C654" s="124"/>
      <c r="D654" s="13"/>
      <c r="E654" s="13"/>
      <c r="F654" s="63"/>
      <c r="G654" s="63"/>
      <c r="H654" s="63"/>
      <c r="I654" s="63"/>
      <c r="J654" s="96"/>
      <c r="K654" s="125"/>
      <c r="L654" s="465"/>
      <c r="M654" s="64">
        <v>180</v>
      </c>
      <c r="N654" s="65"/>
      <c r="O654" s="64"/>
    </row>
    <row r="655" spans="1:15" ht="30.75" customHeight="1" x14ac:dyDescent="0.25">
      <c r="A655" s="461"/>
      <c r="B655" s="794"/>
      <c r="C655" s="140">
        <v>180</v>
      </c>
      <c r="D655" s="154"/>
      <c r="E655" s="154"/>
      <c r="F655" s="63"/>
      <c r="G655" s="63"/>
      <c r="H655" s="63"/>
      <c r="I655" s="63"/>
      <c r="J655" s="96"/>
      <c r="K655" s="155" t="s">
        <v>104</v>
      </c>
      <c r="L655" s="465"/>
      <c r="M655" s="64"/>
      <c r="N655" s="114">
        <v>43.22</v>
      </c>
      <c r="O655" s="68">
        <f>SUM(N655*D655)/1000</f>
        <v>0</v>
      </c>
    </row>
    <row r="656" spans="1:15" x14ac:dyDescent="0.25">
      <c r="A656" s="461"/>
      <c r="B656" s="107" t="s">
        <v>105</v>
      </c>
      <c r="C656" s="96"/>
      <c r="D656" s="63">
        <v>34.299999999999997</v>
      </c>
      <c r="E656" s="63">
        <v>34.299999999999997</v>
      </c>
      <c r="F656" s="59">
        <v>4.1399999999999997</v>
      </c>
      <c r="G656" s="51">
        <v>1.198</v>
      </c>
      <c r="H656" s="51">
        <v>23.94</v>
      </c>
      <c r="I656" s="51">
        <v>125.28</v>
      </c>
      <c r="J656" s="53">
        <v>0</v>
      </c>
      <c r="K656" s="174"/>
      <c r="L656" s="465"/>
      <c r="M656" s="64"/>
      <c r="N656" s="114">
        <v>0</v>
      </c>
      <c r="O656" s="68">
        <f>SUM(N656*D656)/1000</f>
        <v>0</v>
      </c>
    </row>
    <row r="657" spans="1:15" x14ac:dyDescent="0.25">
      <c r="A657" s="461"/>
      <c r="B657" s="107" t="s">
        <v>19</v>
      </c>
      <c r="C657" s="96"/>
      <c r="D657" s="63">
        <v>60</v>
      </c>
      <c r="E657" s="63">
        <v>60</v>
      </c>
      <c r="F657" s="59">
        <v>0</v>
      </c>
      <c r="G657" s="51">
        <v>0</v>
      </c>
      <c r="H657" s="51">
        <v>0</v>
      </c>
      <c r="I657" s="51">
        <v>0</v>
      </c>
      <c r="J657" s="53">
        <v>0</v>
      </c>
      <c r="K657" s="174"/>
      <c r="L657" s="465"/>
      <c r="M657" s="64"/>
      <c r="N657" s="114">
        <v>55.45</v>
      </c>
      <c r="O657" s="68">
        <f>SUM(N657*D657)/1000</f>
        <v>3.327</v>
      </c>
    </row>
    <row r="658" spans="1:15" x14ac:dyDescent="0.25">
      <c r="A658" s="461"/>
      <c r="B658" s="107" t="s">
        <v>44</v>
      </c>
      <c r="C658" s="96"/>
      <c r="D658" s="63">
        <v>85.7</v>
      </c>
      <c r="E658" s="63">
        <v>85.7</v>
      </c>
      <c r="F658" s="59">
        <v>2.52</v>
      </c>
      <c r="G658" s="51">
        <v>2.88</v>
      </c>
      <c r="H658" s="51">
        <v>4.2300000000000004</v>
      </c>
      <c r="I658" s="51">
        <v>52.5</v>
      </c>
      <c r="J658" s="53">
        <v>1.17</v>
      </c>
      <c r="K658" s="174"/>
      <c r="L658" s="465"/>
      <c r="M658" s="64"/>
      <c r="N658" s="144">
        <v>376.98</v>
      </c>
      <c r="O658" s="68">
        <f>SUM(N658*D658)/1000</f>
        <v>32.307186000000002</v>
      </c>
    </row>
    <row r="659" spans="1:15" x14ac:dyDescent="0.25">
      <c r="A659" s="461"/>
      <c r="B659" s="107" t="s">
        <v>49</v>
      </c>
      <c r="C659" s="96"/>
      <c r="D659" s="63">
        <v>5</v>
      </c>
      <c r="E659" s="63">
        <v>5</v>
      </c>
      <c r="F659" s="59">
        <v>0</v>
      </c>
      <c r="G659" s="51">
        <v>0</v>
      </c>
      <c r="H659" s="51">
        <v>5.3890000000000002</v>
      </c>
      <c r="I659" s="51">
        <v>20.466000000000001</v>
      </c>
      <c r="J659" s="53">
        <v>0</v>
      </c>
      <c r="K659" s="126"/>
      <c r="L659" s="465"/>
      <c r="M659" s="64"/>
      <c r="N659" s="114">
        <v>50.7</v>
      </c>
      <c r="O659" s="68">
        <v>0</v>
      </c>
    </row>
    <row r="660" spans="1:15" x14ac:dyDescent="0.25">
      <c r="A660" s="457"/>
      <c r="B660" s="96" t="s">
        <v>112</v>
      </c>
      <c r="C660" s="96"/>
      <c r="D660" s="63">
        <v>0.5</v>
      </c>
      <c r="E660" s="63">
        <v>0.5</v>
      </c>
      <c r="F660" s="59">
        <v>0</v>
      </c>
      <c r="G660" s="59">
        <v>0</v>
      </c>
      <c r="H660" s="59">
        <v>0</v>
      </c>
      <c r="I660" s="59">
        <v>0</v>
      </c>
      <c r="J660" s="191">
        <v>0</v>
      </c>
      <c r="K660" s="126"/>
      <c r="L660" s="465"/>
      <c r="M660" s="64">
        <v>50</v>
      </c>
      <c r="N660" s="65"/>
      <c r="O660" s="64"/>
    </row>
    <row r="661" spans="1:15" x14ac:dyDescent="0.25">
      <c r="A661" s="457"/>
      <c r="B661" s="107" t="s">
        <v>49</v>
      </c>
      <c r="C661" s="96"/>
      <c r="D661" s="63">
        <v>8.5</v>
      </c>
      <c r="E661" s="63">
        <v>8.5</v>
      </c>
      <c r="F661" s="59">
        <v>0</v>
      </c>
      <c r="G661" s="51">
        <v>0</v>
      </c>
      <c r="H661" s="51">
        <v>5.3890000000000002</v>
      </c>
      <c r="I661" s="51">
        <v>20.466000000000001</v>
      </c>
      <c r="J661" s="53">
        <v>0</v>
      </c>
      <c r="K661" s="126"/>
      <c r="L661" s="465"/>
      <c r="M661" s="64"/>
      <c r="N661" s="65"/>
      <c r="O661" s="64"/>
    </row>
    <row r="662" spans="1:15" x14ac:dyDescent="0.25">
      <c r="A662" s="457"/>
      <c r="B662" s="96" t="s">
        <v>310</v>
      </c>
      <c r="C662" s="96"/>
      <c r="D662" s="63">
        <v>171.5</v>
      </c>
      <c r="E662" s="63">
        <v>171.5</v>
      </c>
      <c r="F662" s="59">
        <v>0</v>
      </c>
      <c r="G662" s="59">
        <v>0</v>
      </c>
      <c r="H662" s="59">
        <v>0</v>
      </c>
      <c r="I662" s="59">
        <v>0</v>
      </c>
      <c r="J662" s="191">
        <v>0</v>
      </c>
      <c r="K662" s="126"/>
      <c r="L662" s="465"/>
      <c r="M662" s="64"/>
      <c r="N662" s="114">
        <v>50</v>
      </c>
      <c r="O662" s="68">
        <f>SUM(N662*D662)/1000</f>
        <v>8.5749999999999993</v>
      </c>
    </row>
    <row r="663" spans="1:15" x14ac:dyDescent="0.25">
      <c r="A663" s="457"/>
      <c r="B663" s="96" t="s">
        <v>330</v>
      </c>
      <c r="C663" s="101"/>
      <c r="D663" s="100">
        <v>180</v>
      </c>
      <c r="E663" s="100"/>
      <c r="F663" s="59"/>
      <c r="G663" s="59"/>
      <c r="H663" s="59"/>
      <c r="I663" s="59"/>
      <c r="J663" s="191"/>
      <c r="K663" s="126"/>
      <c r="L663" s="465"/>
      <c r="M663" s="64"/>
      <c r="N663" s="114"/>
      <c r="O663" s="68"/>
    </row>
    <row r="664" spans="1:15" x14ac:dyDescent="0.25">
      <c r="A664" s="457"/>
      <c r="B664" s="116"/>
      <c r="C664" s="117"/>
      <c r="D664" s="100"/>
      <c r="E664" s="100"/>
      <c r="F664" s="118">
        <f>SUM(F655:F662)</f>
        <v>6.66</v>
      </c>
      <c r="G664" s="118">
        <f>SUM(G655:G662)</f>
        <v>4.0779999999999994</v>
      </c>
      <c r="H664" s="118">
        <f>SUM(H655:H662)</f>
        <v>38.948000000000008</v>
      </c>
      <c r="I664" s="118">
        <f>SUM(I655:I662)</f>
        <v>218.71200000000002</v>
      </c>
      <c r="J664" s="118">
        <f>SUM(J655:J662)</f>
        <v>1.17</v>
      </c>
      <c r="K664" s="120"/>
      <c r="L664" s="465"/>
      <c r="M664" s="64"/>
      <c r="N664" s="114">
        <v>110</v>
      </c>
      <c r="O664" s="68">
        <f>SUM(N664*D664)/1000</f>
        <v>0</v>
      </c>
    </row>
    <row r="665" spans="1:15" x14ac:dyDescent="0.25">
      <c r="A665" s="782"/>
      <c r="B665" s="435" t="s">
        <v>72</v>
      </c>
      <c r="C665" s="105" t="s">
        <v>187</v>
      </c>
      <c r="D665" s="13"/>
      <c r="E665" s="13"/>
      <c r="F665" s="13"/>
      <c r="G665" s="13"/>
      <c r="H665" s="13"/>
      <c r="I665" s="13"/>
      <c r="J665" s="96"/>
      <c r="K665" s="125" t="s">
        <v>188</v>
      </c>
      <c r="L665" s="465"/>
      <c r="M665" s="64">
        <v>190</v>
      </c>
      <c r="N665" s="65"/>
      <c r="O665" s="68"/>
    </row>
    <row r="666" spans="1:15" x14ac:dyDescent="0.25">
      <c r="A666" s="782"/>
      <c r="B666" s="435" t="s">
        <v>184</v>
      </c>
      <c r="C666" s="124"/>
      <c r="D666" s="13">
        <v>30</v>
      </c>
      <c r="E666" s="13">
        <v>30</v>
      </c>
      <c r="F666" s="13"/>
      <c r="G666" s="13"/>
      <c r="H666" s="13"/>
      <c r="I666" s="13"/>
      <c r="J666" s="96"/>
      <c r="K666" s="125"/>
      <c r="L666" s="465"/>
      <c r="M666" s="64"/>
      <c r="N666" s="65"/>
      <c r="O666" s="68"/>
    </row>
    <row r="667" spans="1:15" x14ac:dyDescent="0.25">
      <c r="A667" s="782"/>
      <c r="B667" s="107" t="s">
        <v>120</v>
      </c>
      <c r="C667" s="124"/>
      <c r="D667" s="63">
        <v>32.4</v>
      </c>
      <c r="E667" s="63">
        <v>32.4</v>
      </c>
      <c r="F667" s="63">
        <v>0</v>
      </c>
      <c r="G667" s="63">
        <v>0</v>
      </c>
      <c r="H667" s="63">
        <v>0</v>
      </c>
      <c r="I667" s="63">
        <v>0</v>
      </c>
      <c r="J667" s="96">
        <v>0</v>
      </c>
      <c r="K667" s="125"/>
      <c r="L667" s="465"/>
      <c r="M667" s="64"/>
      <c r="N667" s="65"/>
      <c r="O667" s="68"/>
    </row>
    <row r="668" spans="1:15" x14ac:dyDescent="0.25">
      <c r="A668" s="782"/>
      <c r="B668" s="107" t="s">
        <v>185</v>
      </c>
      <c r="C668" s="107"/>
      <c r="D668" s="63">
        <v>0.3</v>
      </c>
      <c r="E668" s="63">
        <v>0.3</v>
      </c>
      <c r="F668" s="63">
        <v>0.06</v>
      </c>
      <c r="G668" s="63">
        <v>0</v>
      </c>
      <c r="H668" s="63">
        <v>2.07E-2</v>
      </c>
      <c r="I668" s="63">
        <v>0.45540000000000003</v>
      </c>
      <c r="J668" s="96">
        <v>0.03</v>
      </c>
      <c r="K668" s="126"/>
      <c r="L668" s="465"/>
      <c r="M668" s="64"/>
      <c r="N668" s="114">
        <v>400</v>
      </c>
      <c r="O668" s="68">
        <f>SUM(N668*D668)/1000</f>
        <v>0.12</v>
      </c>
    </row>
    <row r="669" spans="1:15" x14ac:dyDescent="0.25">
      <c r="A669" s="782"/>
      <c r="B669" s="107" t="s">
        <v>49</v>
      </c>
      <c r="C669" s="107"/>
      <c r="D669" s="63">
        <v>10</v>
      </c>
      <c r="E669" s="63">
        <v>10</v>
      </c>
      <c r="F669" s="63">
        <v>0</v>
      </c>
      <c r="G669" s="63">
        <v>0</v>
      </c>
      <c r="H669" s="63">
        <v>9.98</v>
      </c>
      <c r="I669" s="63">
        <v>37.9</v>
      </c>
      <c r="J669" s="96">
        <v>0</v>
      </c>
      <c r="K669" s="126"/>
      <c r="L669" s="465"/>
      <c r="M669" s="64"/>
      <c r="N669" s="114">
        <v>50.7</v>
      </c>
      <c r="O669" s="68">
        <f>SUM(N669*D669)/1000</f>
        <v>0.50700000000000001</v>
      </c>
    </row>
    <row r="670" spans="1:15" x14ac:dyDescent="0.25">
      <c r="A670" s="782"/>
      <c r="B670" s="107" t="s">
        <v>19</v>
      </c>
      <c r="C670" s="107"/>
      <c r="D670" s="63">
        <v>150</v>
      </c>
      <c r="E670" s="63">
        <v>150</v>
      </c>
      <c r="F670" s="63">
        <v>0</v>
      </c>
      <c r="G670" s="63">
        <v>0</v>
      </c>
      <c r="H670" s="63">
        <v>0</v>
      </c>
      <c r="I670" s="63">
        <v>0</v>
      </c>
      <c r="J670" s="96">
        <v>0</v>
      </c>
      <c r="K670" s="126"/>
      <c r="L670" s="465"/>
      <c r="M670" s="64"/>
      <c r="N670" s="114">
        <v>0</v>
      </c>
      <c r="O670" s="68">
        <f>SUM(N670*D670)/1000</f>
        <v>0</v>
      </c>
    </row>
    <row r="671" spans="1:15" x14ac:dyDescent="0.25">
      <c r="A671" s="782"/>
      <c r="B671" s="157"/>
      <c r="C671" s="157"/>
      <c r="D671" s="51"/>
      <c r="E671" s="51"/>
      <c r="F671" s="274">
        <f>SUM(F668:F670)</f>
        <v>0.06</v>
      </c>
      <c r="G671" s="274">
        <f>SUM(G668:G670)</f>
        <v>0</v>
      </c>
      <c r="H671" s="274">
        <f>SUM(H668:H670)</f>
        <v>10.0007</v>
      </c>
      <c r="I671" s="274">
        <f>SUM(I668:I670)</f>
        <v>38.355399999999996</v>
      </c>
      <c r="J671" s="279">
        <f>SUM(J668:J670)</f>
        <v>0.03</v>
      </c>
      <c r="K671" s="156"/>
      <c r="L671" s="465"/>
      <c r="M671" s="64"/>
      <c r="N671" s="65"/>
      <c r="O671" s="72">
        <f>SUM(O668:O670)</f>
        <v>0.627</v>
      </c>
    </row>
    <row r="672" spans="1:15" x14ac:dyDescent="0.25">
      <c r="A672" s="782"/>
      <c r="B672" s="435" t="s">
        <v>115</v>
      </c>
      <c r="C672" s="124">
        <v>50</v>
      </c>
      <c r="D672" s="13"/>
      <c r="E672" s="13"/>
      <c r="F672" s="13"/>
      <c r="G672" s="13"/>
      <c r="H672" s="13"/>
      <c r="I672" s="13"/>
      <c r="J672" s="107"/>
      <c r="K672" s="125" t="s">
        <v>116</v>
      </c>
      <c r="L672" s="465"/>
      <c r="M672" s="64">
        <v>50</v>
      </c>
      <c r="N672" s="65"/>
      <c r="O672" s="68"/>
    </row>
    <row r="673" spans="1:15" x14ac:dyDescent="0.25">
      <c r="A673" s="782"/>
      <c r="B673" s="107" t="s">
        <v>106</v>
      </c>
      <c r="C673" s="107"/>
      <c r="D673" s="63">
        <v>30</v>
      </c>
      <c r="E673" s="63">
        <v>30</v>
      </c>
      <c r="F673" s="63">
        <v>2.31</v>
      </c>
      <c r="G673" s="63">
        <v>0.9</v>
      </c>
      <c r="H673" s="63">
        <v>14.94</v>
      </c>
      <c r="I673" s="63">
        <v>78.599999999999994</v>
      </c>
      <c r="J673" s="96">
        <v>0</v>
      </c>
      <c r="K673" s="126"/>
      <c r="L673" s="465"/>
      <c r="M673" s="64"/>
      <c r="N673" s="114">
        <v>50</v>
      </c>
      <c r="O673" s="68">
        <f>SUM(N673*D673)/1000</f>
        <v>1.5</v>
      </c>
    </row>
    <row r="674" spans="1:15" x14ac:dyDescent="0.25">
      <c r="A674" s="782"/>
      <c r="B674" s="107" t="s">
        <v>76</v>
      </c>
      <c r="C674" s="107"/>
      <c r="D674" s="63">
        <v>20.2</v>
      </c>
      <c r="E674" s="63">
        <v>20</v>
      </c>
      <c r="F674" s="63">
        <v>0.08</v>
      </c>
      <c r="G674" s="63" t="s">
        <v>35</v>
      </c>
      <c r="H674" s="63">
        <v>13.6</v>
      </c>
      <c r="I674" s="63">
        <v>52</v>
      </c>
      <c r="J674" s="96">
        <v>0.1</v>
      </c>
      <c r="K674" s="126"/>
      <c r="L674" s="465"/>
      <c r="M674" s="64"/>
      <c r="N674" s="114">
        <v>110</v>
      </c>
      <c r="O674" s="68">
        <f>SUM(N674*D674)/1000</f>
        <v>2.222</v>
      </c>
    </row>
    <row r="675" spans="1:15" x14ac:dyDescent="0.25">
      <c r="A675" s="783"/>
      <c r="B675" s="107"/>
      <c r="C675" s="107"/>
      <c r="D675" s="63"/>
      <c r="E675" s="63"/>
      <c r="F675" s="118">
        <f>SUM(F673:F674)</f>
        <v>2.39</v>
      </c>
      <c r="G675" s="118">
        <f>SUM(G673:G674)</f>
        <v>0.9</v>
      </c>
      <c r="H675" s="118">
        <f>SUM(H673:H674)</f>
        <v>28.54</v>
      </c>
      <c r="I675" s="118">
        <f>SUM(I673:I674)</f>
        <v>130.6</v>
      </c>
      <c r="J675" s="119">
        <f>SUM(J673:J674)</f>
        <v>0.1</v>
      </c>
      <c r="K675" s="156"/>
      <c r="L675" s="465"/>
      <c r="M675" s="64"/>
      <c r="N675" s="65"/>
      <c r="O675" s="72">
        <f>SUM(O673:O674)</f>
        <v>3.722</v>
      </c>
    </row>
    <row r="676" spans="1:15" hidden="1" x14ac:dyDescent="0.25">
      <c r="A676" s="782" t="s">
        <v>208</v>
      </c>
      <c r="B676" s="124"/>
      <c r="C676" s="124"/>
      <c r="D676" s="63"/>
      <c r="E676" s="63"/>
      <c r="F676" s="130"/>
      <c r="G676" s="130"/>
      <c r="H676" s="130"/>
      <c r="I676" s="130"/>
      <c r="J676" s="131"/>
      <c r="K676" s="162"/>
      <c r="L676" s="799"/>
      <c r="M676" s="65"/>
      <c r="N676" s="65"/>
      <c r="O676" s="66"/>
    </row>
    <row r="677" spans="1:15" x14ac:dyDescent="0.25">
      <c r="A677" s="782"/>
      <c r="B677" s="350" t="s">
        <v>232</v>
      </c>
      <c r="C677" s="339">
        <v>100</v>
      </c>
      <c r="D677" s="352">
        <v>105</v>
      </c>
      <c r="E677" s="352">
        <v>105</v>
      </c>
      <c r="F677" s="417">
        <f>2.8*E677/100</f>
        <v>2.94</v>
      </c>
      <c r="G677" s="417">
        <f>3.2*E677/100</f>
        <v>3.36</v>
      </c>
      <c r="H677" s="417">
        <f>4.7*E677/100</f>
        <v>4.9349999999999996</v>
      </c>
      <c r="I677" s="418">
        <f>58*E677/100</f>
        <v>60.9</v>
      </c>
      <c r="J677" s="419">
        <f>1.3*E677/100</f>
        <v>1.365</v>
      </c>
      <c r="K677" s="162" t="s">
        <v>207</v>
      </c>
      <c r="L677" s="799"/>
      <c r="M677" s="65">
        <v>100</v>
      </c>
      <c r="N677" s="65">
        <v>73.69</v>
      </c>
      <c r="O677" s="72">
        <f>SUM(D677*N677)/1000</f>
        <v>7.7374499999999999</v>
      </c>
    </row>
    <row r="678" spans="1:15" x14ac:dyDescent="0.25">
      <c r="A678" s="783"/>
      <c r="B678" s="124" t="s">
        <v>57</v>
      </c>
      <c r="C678" s="124"/>
      <c r="D678" s="63"/>
      <c r="E678" s="63"/>
      <c r="F678" s="452">
        <f>SUM(F664+F671+F675+F677)</f>
        <v>12.049999999999999</v>
      </c>
      <c r="G678" s="452">
        <f t="shared" ref="G678:J678" si="60">SUM(G664+G671+G675+G677)</f>
        <v>8.3379999999999992</v>
      </c>
      <c r="H678" s="452">
        <f t="shared" si="60"/>
        <v>82.423700000000011</v>
      </c>
      <c r="I678" s="452">
        <f t="shared" si="60"/>
        <v>448.56740000000002</v>
      </c>
      <c r="J678" s="452">
        <f t="shared" si="60"/>
        <v>2.665</v>
      </c>
      <c r="K678" s="251"/>
      <c r="L678" s="800"/>
      <c r="M678" s="37">
        <f>SUM(M676:M677)</f>
        <v>100</v>
      </c>
      <c r="N678" s="237"/>
      <c r="O678" s="142" t="e">
        <f>SUM(#REF!+#REF!+#REF!+O677)</f>
        <v>#REF!</v>
      </c>
    </row>
    <row r="679" spans="1:15" x14ac:dyDescent="0.25">
      <c r="A679" s="456" t="s">
        <v>58</v>
      </c>
      <c r="B679" s="13"/>
      <c r="C679" s="13"/>
      <c r="D679" s="105"/>
      <c r="E679" s="106"/>
      <c r="F679" s="51"/>
      <c r="G679" s="51"/>
      <c r="H679" s="51"/>
      <c r="I679" s="51"/>
      <c r="J679" s="53"/>
      <c r="K679" s="125"/>
      <c r="L679" s="464"/>
      <c r="M679" s="64"/>
      <c r="N679" s="65"/>
      <c r="O679" s="64"/>
    </row>
    <row r="680" spans="1:15" ht="30" x14ac:dyDescent="0.25">
      <c r="A680" s="457"/>
      <c r="B680" s="438" t="s">
        <v>28</v>
      </c>
      <c r="C680" s="140">
        <v>200</v>
      </c>
      <c r="D680" s="154"/>
      <c r="E680" s="154"/>
      <c r="F680" s="13"/>
      <c r="G680" s="13"/>
      <c r="H680" s="13"/>
      <c r="I680" s="13"/>
      <c r="J680" s="96"/>
      <c r="K680" s="125" t="s">
        <v>354</v>
      </c>
      <c r="L680" s="477"/>
      <c r="M680" s="64">
        <v>200</v>
      </c>
      <c r="N680" s="65"/>
      <c r="O680" s="64"/>
    </row>
    <row r="681" spans="1:15" x14ac:dyDescent="0.25">
      <c r="A681" s="457"/>
      <c r="B681" s="428" t="s">
        <v>36</v>
      </c>
      <c r="C681" s="96"/>
      <c r="D681" s="63">
        <v>76.599999999999994</v>
      </c>
      <c r="E681" s="63">
        <v>56</v>
      </c>
      <c r="F681" s="523">
        <v>0.8</v>
      </c>
      <c r="G681" s="186">
        <v>0.16</v>
      </c>
      <c r="H681" s="186">
        <v>6.52</v>
      </c>
      <c r="I681" s="186">
        <v>30.8</v>
      </c>
      <c r="J681" s="524">
        <v>8</v>
      </c>
      <c r="K681" s="152"/>
      <c r="L681" s="472"/>
      <c r="M681" s="70"/>
      <c r="N681" s="135">
        <v>21.89</v>
      </c>
      <c r="O681" s="68">
        <f>SUM(N681*D681)/1000</f>
        <v>1.676774</v>
      </c>
    </row>
    <row r="682" spans="1:15" x14ac:dyDescent="0.25">
      <c r="A682" s="497"/>
      <c r="B682" s="428" t="s">
        <v>358</v>
      </c>
      <c r="C682" s="96"/>
      <c r="D682" s="352">
        <v>32</v>
      </c>
      <c r="E682" s="352">
        <v>32</v>
      </c>
      <c r="F682" s="519">
        <f>E682*15.9/100</f>
        <v>5.0880000000000001</v>
      </c>
      <c r="G682" s="519">
        <f>0.9*E682/100</f>
        <v>0.28800000000000003</v>
      </c>
      <c r="H682" s="519">
        <v>0</v>
      </c>
      <c r="I682" s="519">
        <f>72*E682/100</f>
        <v>23.04</v>
      </c>
      <c r="J682" s="525">
        <v>0</v>
      </c>
      <c r="K682" s="152"/>
      <c r="L682" s="496"/>
      <c r="M682" s="70"/>
      <c r="N682" s="135"/>
      <c r="O682" s="68"/>
    </row>
    <row r="683" spans="1:15" x14ac:dyDescent="0.25">
      <c r="A683" s="497"/>
      <c r="B683" s="518" t="s">
        <v>272</v>
      </c>
      <c r="C683" s="499"/>
      <c r="D683" s="352">
        <v>8</v>
      </c>
      <c r="E683" s="352">
        <v>8</v>
      </c>
      <c r="F683" s="520">
        <f>7*E683/100</f>
        <v>0.56000000000000005</v>
      </c>
      <c r="G683" s="520">
        <f>1*E683/100</f>
        <v>0.08</v>
      </c>
      <c r="H683" s="520">
        <f>71.4*E683/100</f>
        <v>5.7120000000000006</v>
      </c>
      <c r="I683" s="521">
        <f>330*E683/100</f>
        <v>26.4</v>
      </c>
      <c r="J683" s="522">
        <v>0</v>
      </c>
      <c r="K683" s="152"/>
      <c r="L683" s="496"/>
      <c r="M683" s="70"/>
      <c r="N683" s="135"/>
      <c r="O683" s="68"/>
    </row>
    <row r="684" spans="1:15" x14ac:dyDescent="0.25">
      <c r="A684" s="457"/>
      <c r="B684" s="428" t="s">
        <v>59</v>
      </c>
      <c r="C684" s="96"/>
      <c r="D684" s="63">
        <v>16</v>
      </c>
      <c r="E684" s="63">
        <v>12.8</v>
      </c>
      <c r="F684" s="186">
        <v>0.104</v>
      </c>
      <c r="G684" s="186">
        <v>8.0000000000000002E-3</v>
      </c>
      <c r="H684" s="186">
        <v>0.55200000000000005</v>
      </c>
      <c r="I684" s="186">
        <v>2.8</v>
      </c>
      <c r="J684" s="524">
        <v>0.4</v>
      </c>
      <c r="K684" s="152"/>
      <c r="L684" s="472"/>
      <c r="M684" s="64"/>
      <c r="N684" s="114">
        <v>38.5</v>
      </c>
      <c r="O684" s="68">
        <f>SUM(N684*D684)/1000</f>
        <v>0.61599999999999999</v>
      </c>
    </row>
    <row r="685" spans="1:15" x14ac:dyDescent="0.25">
      <c r="A685" s="457"/>
      <c r="B685" s="428" t="s">
        <v>32</v>
      </c>
      <c r="C685" s="96"/>
      <c r="D685" s="63">
        <v>10</v>
      </c>
      <c r="E685" s="63">
        <v>8.4</v>
      </c>
      <c r="F685" s="186">
        <v>0.112</v>
      </c>
      <c r="G685" s="186">
        <v>1.6E-2</v>
      </c>
      <c r="H685" s="186">
        <v>0.65600000000000003</v>
      </c>
      <c r="I685" s="186">
        <v>0.28000000000000003</v>
      </c>
      <c r="J685" s="524">
        <v>0.8</v>
      </c>
      <c r="K685" s="152"/>
      <c r="L685" s="472"/>
      <c r="M685" s="64"/>
      <c r="N685" s="114">
        <v>21.98</v>
      </c>
      <c r="O685" s="68">
        <f>SUM(N685*D685)/1000</f>
        <v>0.21980000000000002</v>
      </c>
    </row>
    <row r="686" spans="1:15" x14ac:dyDescent="0.25">
      <c r="A686" s="457"/>
      <c r="B686" s="428" t="s">
        <v>120</v>
      </c>
      <c r="C686" s="96"/>
      <c r="D686" s="63">
        <v>240</v>
      </c>
      <c r="E686" s="63" t="s">
        <v>48</v>
      </c>
      <c r="F686" s="523" t="s">
        <v>48</v>
      </c>
      <c r="G686" s="186" t="s">
        <v>48</v>
      </c>
      <c r="H686" s="186" t="s">
        <v>48</v>
      </c>
      <c r="I686" s="186" t="s">
        <v>48</v>
      </c>
      <c r="J686" s="524" t="s">
        <v>48</v>
      </c>
      <c r="K686" s="152"/>
      <c r="L686" s="472"/>
      <c r="M686" s="64"/>
      <c r="N686" s="114">
        <v>92.2</v>
      </c>
      <c r="O686" s="68">
        <f>SUM(N686*D686)/1000</f>
        <v>22.128</v>
      </c>
    </row>
    <row r="687" spans="1:15" x14ac:dyDescent="0.25">
      <c r="A687" s="457"/>
      <c r="B687" s="428" t="s">
        <v>112</v>
      </c>
      <c r="C687" s="96"/>
      <c r="D687" s="63">
        <v>0.4</v>
      </c>
      <c r="E687" s="63">
        <v>0.4</v>
      </c>
      <c r="F687" s="238">
        <v>0</v>
      </c>
      <c r="G687" s="238">
        <v>0</v>
      </c>
      <c r="H687" s="238">
        <v>0</v>
      </c>
      <c r="I687" s="238">
        <v>0</v>
      </c>
      <c r="J687" s="238">
        <v>0</v>
      </c>
      <c r="K687" s="174"/>
      <c r="L687" s="472"/>
      <c r="M687" s="64"/>
      <c r="N687" s="114">
        <v>16.62</v>
      </c>
      <c r="O687" s="68">
        <f>SUM(N687*D687)/1000</f>
        <v>6.6480000000000003E-3</v>
      </c>
    </row>
    <row r="688" spans="1:15" x14ac:dyDescent="0.25">
      <c r="A688" s="457"/>
      <c r="B688" s="124"/>
      <c r="C688" s="124"/>
      <c r="D688" s="13"/>
      <c r="E688" s="13"/>
      <c r="F688" s="118">
        <f>SUM(F681:F687)</f>
        <v>6.6640000000000006</v>
      </c>
      <c r="G688" s="118">
        <f>SUM(G681:G687)</f>
        <v>0.55200000000000005</v>
      </c>
      <c r="H688" s="118">
        <f>SUM(H681:H687)</f>
        <v>13.44</v>
      </c>
      <c r="I688" s="118">
        <f>SUM(I681:I687)</f>
        <v>83.320000000000007</v>
      </c>
      <c r="J688" s="119">
        <f>SUM(J681:J687)</f>
        <v>9.2000000000000011</v>
      </c>
      <c r="K688" s="156"/>
      <c r="L688" s="472"/>
      <c r="M688" s="64"/>
      <c r="N688" s="65"/>
      <c r="O688" s="72">
        <f>SUM(O681:O687)</f>
        <v>24.647221999999999</v>
      </c>
    </row>
    <row r="689" spans="1:15" ht="24" customHeight="1" x14ac:dyDescent="0.25">
      <c r="A689" s="782"/>
      <c r="B689" s="443" t="s">
        <v>305</v>
      </c>
      <c r="C689" s="339" t="s">
        <v>326</v>
      </c>
      <c r="D689" s="340"/>
      <c r="E689" s="340"/>
      <c r="F689" s="417">
        <f>F690+F691+F692</f>
        <v>15.895</v>
      </c>
      <c r="G689" s="417">
        <f>G690+G691+G692</f>
        <v>16.082600000000003</v>
      </c>
      <c r="H689" s="417">
        <f>H690+H691+H692</f>
        <v>0</v>
      </c>
      <c r="I689" s="417">
        <f>I690+I691+I692</f>
        <v>208.57599999999999</v>
      </c>
      <c r="J689" s="417">
        <f>J690+J691+J692</f>
        <v>1.7</v>
      </c>
      <c r="K689" s="483" t="s">
        <v>325</v>
      </c>
      <c r="L689" s="799"/>
      <c r="M689" s="64">
        <v>76</v>
      </c>
      <c r="N689" s="65"/>
      <c r="O689" s="64"/>
    </row>
    <row r="690" spans="1:15" x14ac:dyDescent="0.25">
      <c r="A690" s="782"/>
      <c r="B690" s="441" t="s">
        <v>260</v>
      </c>
      <c r="C690" s="354"/>
      <c r="D690" s="340">
        <v>117.6</v>
      </c>
      <c r="E690" s="340">
        <v>85</v>
      </c>
      <c r="F690" s="340">
        <f>18.7*E690/100</f>
        <v>15.895</v>
      </c>
      <c r="G690" s="340">
        <f>16.1*E690/100</f>
        <v>13.685000000000002</v>
      </c>
      <c r="H690" s="340">
        <v>0</v>
      </c>
      <c r="I690" s="345">
        <f>220*E690/100</f>
        <v>187</v>
      </c>
      <c r="J690" s="346">
        <f>2*E690/100</f>
        <v>1.7</v>
      </c>
      <c r="K690" s="483"/>
      <c r="L690" s="799"/>
      <c r="M690" s="64"/>
      <c r="N690" s="114">
        <v>136.62</v>
      </c>
      <c r="O690" s="68">
        <f>SUM(N690*D690)/1000</f>
        <v>16.066511999999999</v>
      </c>
    </row>
    <row r="691" spans="1:15" x14ac:dyDescent="0.25">
      <c r="A691" s="782"/>
      <c r="B691" s="441" t="s">
        <v>287</v>
      </c>
      <c r="C691" s="354"/>
      <c r="D691" s="340">
        <v>2.4</v>
      </c>
      <c r="E691" s="340">
        <v>2.4</v>
      </c>
      <c r="F691" s="340">
        <v>0</v>
      </c>
      <c r="G691" s="340">
        <f>99.9*E691/100</f>
        <v>2.3975999999999997</v>
      </c>
      <c r="H691" s="355">
        <v>0</v>
      </c>
      <c r="I691" s="356">
        <f>899*E691/100</f>
        <v>21.576000000000001</v>
      </c>
      <c r="J691" s="346">
        <v>0</v>
      </c>
      <c r="K691" s="483"/>
      <c r="L691" s="799"/>
      <c r="M691" s="64"/>
      <c r="N691" s="114">
        <v>35</v>
      </c>
      <c r="O691" s="68">
        <f>SUM(N691*D691)/1000</f>
        <v>8.4000000000000005E-2</v>
      </c>
    </row>
    <row r="692" spans="1:15" x14ac:dyDescent="0.25">
      <c r="A692" s="782"/>
      <c r="B692" s="441" t="s">
        <v>231</v>
      </c>
      <c r="C692" s="354"/>
      <c r="D692" s="340">
        <v>0.2</v>
      </c>
      <c r="E692" s="340">
        <v>0.2</v>
      </c>
      <c r="F692" s="340">
        <v>0</v>
      </c>
      <c r="G692" s="340">
        <v>0</v>
      </c>
      <c r="H692" s="340">
        <v>0</v>
      </c>
      <c r="I692" s="345">
        <v>0</v>
      </c>
      <c r="J692" s="346">
        <v>0</v>
      </c>
      <c r="K692" s="483"/>
      <c r="L692" s="799"/>
      <c r="M692" s="64"/>
      <c r="N692" s="114">
        <v>43.22</v>
      </c>
      <c r="O692" s="68">
        <f>SUM(N692*D692)/1000</f>
        <v>8.6440000000000006E-3</v>
      </c>
    </row>
    <row r="693" spans="1:15" x14ac:dyDescent="0.25">
      <c r="A693" s="782"/>
      <c r="B693" s="441" t="s">
        <v>306</v>
      </c>
      <c r="C693" s="354"/>
      <c r="D693" s="340">
        <v>60</v>
      </c>
      <c r="E693" s="340">
        <v>60</v>
      </c>
      <c r="F693" s="340" t="s">
        <v>48</v>
      </c>
      <c r="G693" s="340" t="s">
        <v>48</v>
      </c>
      <c r="H693" s="340" t="s">
        <v>48</v>
      </c>
      <c r="I693" s="345">
        <f>35*E693/100</f>
        <v>21</v>
      </c>
      <c r="J693" s="346" t="s">
        <v>48</v>
      </c>
      <c r="K693" s="483"/>
      <c r="L693" s="799"/>
      <c r="M693" s="64"/>
      <c r="N693" s="114">
        <v>376.98</v>
      </c>
      <c r="O693" s="68">
        <f>SUM(N693*D693)/1000</f>
        <v>22.618800000000004</v>
      </c>
    </row>
    <row r="694" spans="1:15" x14ac:dyDescent="0.25">
      <c r="A694" s="782"/>
      <c r="B694" s="361" t="s">
        <v>245</v>
      </c>
      <c r="C694" s="339">
        <v>60</v>
      </c>
      <c r="D694" s="358"/>
      <c r="E694" s="340"/>
      <c r="F694" s="417">
        <f>F695+F696+F697+F698+F699+F700+F701+F702+F703</f>
        <v>0.50340000000000007</v>
      </c>
      <c r="G694" s="417">
        <f>G695+G696+G697+G698+G699+G700+G701+G702+G703</f>
        <v>1.2389999999999997</v>
      </c>
      <c r="H694" s="417">
        <f>H695+H696+H697+H698+H699+H700+H701+H702+H703</f>
        <v>3.8537999999999997</v>
      </c>
      <c r="I694" s="417">
        <f>I695+I696+I697+I698+I699+I700+I701+I702+I703</f>
        <v>28.839000000000002</v>
      </c>
      <c r="J694" s="417">
        <f>J695+J696+J697+J698+J699+J700+J701+J702+J703</f>
        <v>1.44</v>
      </c>
      <c r="K694" s="482" t="s">
        <v>307</v>
      </c>
      <c r="L694" s="799"/>
      <c r="M694" s="64"/>
      <c r="N694" s="114">
        <v>16.62</v>
      </c>
      <c r="O694" s="68">
        <f>SUM(N694*D694)/1000</f>
        <v>0</v>
      </c>
    </row>
    <row r="695" spans="1:15" x14ac:dyDescent="0.25">
      <c r="A695" s="782"/>
      <c r="B695" s="353" t="s">
        <v>246</v>
      </c>
      <c r="C695" s="343"/>
      <c r="D695" s="340">
        <v>60</v>
      </c>
      <c r="E695" s="340">
        <v>60</v>
      </c>
      <c r="F695" s="340">
        <v>0</v>
      </c>
      <c r="G695" s="340">
        <v>0</v>
      </c>
      <c r="H695" s="340">
        <v>0</v>
      </c>
      <c r="I695" s="345">
        <v>0</v>
      </c>
      <c r="J695" s="346">
        <v>0</v>
      </c>
      <c r="K695" s="483"/>
      <c r="L695" s="799"/>
      <c r="M695" s="64"/>
      <c r="N695" s="65"/>
      <c r="O695" s="72">
        <f>SUM(O690:O693)</f>
        <v>38.777956000000003</v>
      </c>
    </row>
    <row r="696" spans="1:15" ht="30" x14ac:dyDescent="0.25">
      <c r="A696" s="782"/>
      <c r="B696" s="353" t="s">
        <v>241</v>
      </c>
      <c r="C696" s="343"/>
      <c r="D696" s="340">
        <v>1.2</v>
      </c>
      <c r="E696" s="340">
        <v>1.2</v>
      </c>
      <c r="F696" s="340">
        <v>0</v>
      </c>
      <c r="G696" s="340">
        <f>99.9*E696/100</f>
        <v>1.1987999999999999</v>
      </c>
      <c r="H696" s="355">
        <v>0</v>
      </c>
      <c r="I696" s="356">
        <f>899*E696/100</f>
        <v>10.788</v>
      </c>
      <c r="J696" s="346">
        <v>0</v>
      </c>
      <c r="K696" s="483"/>
      <c r="L696" s="799"/>
      <c r="M696" s="64">
        <v>150</v>
      </c>
      <c r="N696" s="65"/>
      <c r="O696" s="64"/>
    </row>
    <row r="697" spans="1:15" x14ac:dyDescent="0.25">
      <c r="A697" s="782"/>
      <c r="B697" s="353" t="s">
        <v>247</v>
      </c>
      <c r="C697" s="354"/>
      <c r="D697" s="340">
        <v>3</v>
      </c>
      <c r="E697" s="340">
        <v>3</v>
      </c>
      <c r="F697" s="340">
        <f>10.3*E697/100</f>
        <v>0.309</v>
      </c>
      <c r="G697" s="340">
        <f>1.1*E697/100</f>
        <v>3.3000000000000002E-2</v>
      </c>
      <c r="H697" s="340">
        <f>69*E697/100</f>
        <v>2.0699999999999998</v>
      </c>
      <c r="I697" s="345">
        <f>334*E697/100</f>
        <v>10.02</v>
      </c>
      <c r="J697" s="346">
        <v>0</v>
      </c>
      <c r="K697" s="483"/>
      <c r="L697" s="799"/>
      <c r="M697" s="64"/>
      <c r="N697" s="114">
        <v>25.38</v>
      </c>
      <c r="O697" s="68">
        <f t="shared" ref="O697:O702" si="61">SUM(N697*D697)/1000</f>
        <v>7.6139999999999999E-2</v>
      </c>
    </row>
    <row r="698" spans="1:15" x14ac:dyDescent="0.25">
      <c r="A698" s="782"/>
      <c r="B698" s="353" t="s">
        <v>240</v>
      </c>
      <c r="C698" s="343"/>
      <c r="D698" s="340">
        <v>2.4</v>
      </c>
      <c r="E698" s="340">
        <v>2.4</v>
      </c>
      <c r="F698" s="340">
        <f>4.8*E698/100</f>
        <v>0.1152</v>
      </c>
      <c r="G698" s="340">
        <v>0</v>
      </c>
      <c r="H698" s="340">
        <f>19*E698/100</f>
        <v>0.45600000000000002</v>
      </c>
      <c r="I698" s="345">
        <f>102*E698/100</f>
        <v>2.448</v>
      </c>
      <c r="J698" s="346">
        <f>45*E698/100</f>
        <v>1.08</v>
      </c>
      <c r="K698" s="483"/>
      <c r="L698" s="799"/>
      <c r="M698" s="64"/>
      <c r="N698" s="114">
        <v>21.98</v>
      </c>
      <c r="O698" s="68">
        <f t="shared" si="61"/>
        <v>5.2752E-2</v>
      </c>
    </row>
    <row r="699" spans="1:15" x14ac:dyDescent="0.25">
      <c r="A699" s="782"/>
      <c r="B699" s="353" t="s">
        <v>238</v>
      </c>
      <c r="C699" s="343"/>
      <c r="D699" s="340">
        <v>6</v>
      </c>
      <c r="E699" s="340">
        <v>4.8</v>
      </c>
      <c r="F699" s="340">
        <f>1.3*E699/100</f>
        <v>6.2400000000000004E-2</v>
      </c>
      <c r="G699" s="340">
        <f>0.1*E699/100</f>
        <v>4.7999999999999996E-3</v>
      </c>
      <c r="H699" s="355">
        <f>6.9*E699/100</f>
        <v>0.33119999999999999</v>
      </c>
      <c r="I699" s="356">
        <f>35*E699/100</f>
        <v>1.68</v>
      </c>
      <c r="J699" s="346">
        <f>5*E699/100</f>
        <v>0.24</v>
      </c>
      <c r="K699" s="483"/>
      <c r="L699" s="799"/>
      <c r="M699" s="64"/>
      <c r="N699" s="114">
        <v>120</v>
      </c>
      <c r="O699" s="68">
        <f t="shared" si="61"/>
        <v>0.72</v>
      </c>
    </row>
    <row r="700" spans="1:15" x14ac:dyDescent="0.25">
      <c r="A700" s="782"/>
      <c r="B700" s="353" t="s">
        <v>239</v>
      </c>
      <c r="C700" s="343"/>
      <c r="D700" s="340">
        <v>1.4</v>
      </c>
      <c r="E700" s="340">
        <v>1.2</v>
      </c>
      <c r="F700" s="340">
        <f>1.4*E700/100</f>
        <v>1.6799999999999999E-2</v>
      </c>
      <c r="G700" s="340">
        <f>0.2*E700/100</f>
        <v>2.3999999999999998E-3</v>
      </c>
      <c r="H700" s="355">
        <f>8.2*E700/100</f>
        <v>9.8399999999999987E-2</v>
      </c>
      <c r="I700" s="356">
        <f>41*E700/100</f>
        <v>0.49199999999999994</v>
      </c>
      <c r="J700" s="346">
        <f>10*E700/100</f>
        <v>0.12</v>
      </c>
      <c r="K700" s="483"/>
      <c r="L700" s="799"/>
      <c r="M700" s="64"/>
      <c r="N700" s="114">
        <v>92.2</v>
      </c>
      <c r="O700" s="68">
        <f t="shared" si="61"/>
        <v>0.12907999999999997</v>
      </c>
    </row>
    <row r="701" spans="1:15" x14ac:dyDescent="0.25">
      <c r="A701" s="782"/>
      <c r="B701" s="353" t="s">
        <v>230</v>
      </c>
      <c r="C701" s="343"/>
      <c r="D701" s="340">
        <v>0.9</v>
      </c>
      <c r="E701" s="340">
        <v>0.9</v>
      </c>
      <c r="F701" s="340">
        <v>0</v>
      </c>
      <c r="G701" s="340">
        <v>0</v>
      </c>
      <c r="H701" s="340">
        <f>99.8*E701/100</f>
        <v>0.89819999999999989</v>
      </c>
      <c r="I701" s="345">
        <f>379*E701/100</f>
        <v>3.411</v>
      </c>
      <c r="J701" s="346">
        <v>0</v>
      </c>
      <c r="K701" s="483"/>
      <c r="L701" s="799"/>
      <c r="M701" s="64"/>
      <c r="N701" s="114">
        <v>16.62</v>
      </c>
      <c r="O701" s="68">
        <f t="shared" si="61"/>
        <v>1.4958000000000003E-2</v>
      </c>
    </row>
    <row r="702" spans="1:15" x14ac:dyDescent="0.25">
      <c r="A702" s="782"/>
      <c r="B702" s="353" t="s">
        <v>231</v>
      </c>
      <c r="C702" s="343"/>
      <c r="D702" s="340">
        <v>0.6</v>
      </c>
      <c r="E702" s="340">
        <v>0.6</v>
      </c>
      <c r="F702" s="340">
        <v>0</v>
      </c>
      <c r="G702" s="340">
        <v>0</v>
      </c>
      <c r="H702" s="340">
        <v>0</v>
      </c>
      <c r="I702" s="345">
        <v>0</v>
      </c>
      <c r="J702" s="346">
        <v>0</v>
      </c>
      <c r="K702" s="483"/>
      <c r="L702" s="799"/>
      <c r="M702" s="64"/>
      <c r="N702" s="114">
        <v>50.7</v>
      </c>
      <c r="O702" s="68">
        <f t="shared" si="61"/>
        <v>3.0420000000000003E-2</v>
      </c>
    </row>
    <row r="703" spans="1:15" x14ac:dyDescent="0.25">
      <c r="A703" s="782"/>
      <c r="B703" s="444" t="s">
        <v>242</v>
      </c>
      <c r="C703" s="445"/>
      <c r="D703" s="446">
        <v>2.4E-2</v>
      </c>
      <c r="E703" s="446">
        <v>2.4E-2</v>
      </c>
      <c r="F703" s="386">
        <v>0</v>
      </c>
      <c r="G703" s="386">
        <v>0</v>
      </c>
      <c r="H703" s="386">
        <v>0</v>
      </c>
      <c r="I703" s="447">
        <v>0</v>
      </c>
      <c r="J703" s="448">
        <v>0</v>
      </c>
      <c r="K703" s="490"/>
      <c r="L703" s="799"/>
      <c r="M703" s="64"/>
      <c r="N703" s="65"/>
      <c r="O703" s="72">
        <f>SUM(O697:O702)</f>
        <v>1.02335</v>
      </c>
    </row>
    <row r="704" spans="1:15" ht="29.25" x14ac:dyDescent="0.25">
      <c r="A704" s="782"/>
      <c r="B704" s="424" t="s">
        <v>308</v>
      </c>
      <c r="C704" s="425">
        <v>120</v>
      </c>
      <c r="D704" s="366"/>
      <c r="E704" s="366"/>
      <c r="F704" s="366"/>
      <c r="G704" s="366"/>
      <c r="H704" s="366"/>
      <c r="I704" s="366"/>
      <c r="J704" s="366"/>
      <c r="K704" s="423" t="s">
        <v>222</v>
      </c>
      <c r="L704" s="799"/>
      <c r="M704" s="64"/>
      <c r="N704" s="65"/>
      <c r="O704" s="72"/>
    </row>
    <row r="705" spans="1:15" ht="47.25" customHeight="1" x14ac:dyDescent="0.25">
      <c r="A705" s="782"/>
      <c r="B705" s="420" t="s">
        <v>309</v>
      </c>
      <c r="C705" s="421"/>
      <c r="D705" s="64">
        <v>55.2</v>
      </c>
      <c r="E705" s="64">
        <v>55.2</v>
      </c>
      <c r="F705" s="417">
        <f>12.6*E705/100</f>
        <v>6.9551999999999996</v>
      </c>
      <c r="G705" s="417">
        <f>3.3*E705/100</f>
        <v>1.8215999999999999</v>
      </c>
      <c r="H705" s="417">
        <f>62.1*E705/100</f>
        <v>34.279200000000003</v>
      </c>
      <c r="I705" s="418">
        <f>335*E705/100</f>
        <v>184.92</v>
      </c>
      <c r="J705" s="419">
        <v>0</v>
      </c>
      <c r="K705" s="422"/>
      <c r="L705" s="799"/>
      <c r="M705" s="64"/>
      <c r="N705" s="65"/>
      <c r="O705" s="72"/>
    </row>
    <row r="706" spans="1:15" x14ac:dyDescent="0.25">
      <c r="A706" s="782"/>
      <c r="B706" s="353" t="s">
        <v>231</v>
      </c>
      <c r="C706" s="343"/>
      <c r="D706" s="359">
        <v>1.2</v>
      </c>
      <c r="E706" s="359">
        <v>1.4</v>
      </c>
      <c r="F706" s="340">
        <v>0</v>
      </c>
      <c r="G706" s="340">
        <v>0</v>
      </c>
      <c r="H706" s="340">
        <v>0</v>
      </c>
      <c r="I706" s="345">
        <v>0</v>
      </c>
      <c r="J706" s="346">
        <v>0</v>
      </c>
      <c r="K706" s="422"/>
      <c r="L706" s="799"/>
      <c r="M706" s="64"/>
      <c r="N706" s="65"/>
      <c r="O706" s="72"/>
    </row>
    <row r="707" spans="1:15" x14ac:dyDescent="0.25">
      <c r="A707" s="782"/>
      <c r="B707" s="420" t="s">
        <v>310</v>
      </c>
      <c r="C707" s="421"/>
      <c r="D707" s="64"/>
      <c r="E707" s="64">
        <v>116.5</v>
      </c>
      <c r="F707" s="366"/>
      <c r="G707" s="366"/>
      <c r="H707" s="366"/>
      <c r="I707" s="366"/>
      <c r="J707" s="366"/>
      <c r="K707" s="422"/>
      <c r="L707" s="799"/>
      <c r="M707" s="64"/>
      <c r="N707" s="65"/>
      <c r="O707" s="72"/>
    </row>
    <row r="708" spans="1:15" x14ac:dyDescent="0.25">
      <c r="A708" s="782"/>
      <c r="B708" s="107" t="s">
        <v>21</v>
      </c>
      <c r="C708" s="194"/>
      <c r="D708" s="63">
        <v>4</v>
      </c>
      <c r="E708" s="63">
        <v>4</v>
      </c>
      <c r="F708" s="63">
        <v>0.04</v>
      </c>
      <c r="G708" s="63">
        <v>3.625</v>
      </c>
      <c r="H708" s="63">
        <v>6.5000000000000002E-2</v>
      </c>
      <c r="I708" s="63">
        <v>33.049999999999997</v>
      </c>
      <c r="J708" s="96">
        <v>0</v>
      </c>
      <c r="K708" s="422"/>
      <c r="L708" s="799"/>
      <c r="M708" s="64"/>
      <c r="N708" s="65"/>
      <c r="O708" s="72"/>
    </row>
    <row r="709" spans="1:15" ht="30" x14ac:dyDescent="0.25">
      <c r="A709" s="782"/>
      <c r="B709" s="138" t="s">
        <v>180</v>
      </c>
      <c r="C709" s="124">
        <v>180</v>
      </c>
      <c r="D709" s="13"/>
      <c r="E709" s="13"/>
      <c r="F709" s="63"/>
      <c r="G709" s="63"/>
      <c r="H709" s="63"/>
      <c r="I709" s="63"/>
      <c r="J709" s="96"/>
      <c r="K709" s="108" t="s">
        <v>181</v>
      </c>
      <c r="L709" s="799"/>
      <c r="M709" s="64">
        <v>180</v>
      </c>
      <c r="N709" s="65"/>
      <c r="O709" s="64"/>
    </row>
    <row r="710" spans="1:15" ht="17.25" customHeight="1" x14ac:dyDescent="0.25">
      <c r="A710" s="782"/>
      <c r="B710" s="107" t="s">
        <v>182</v>
      </c>
      <c r="C710" s="107"/>
      <c r="D710" s="63">
        <v>18</v>
      </c>
      <c r="E710" s="63" t="s">
        <v>183</v>
      </c>
      <c r="F710" s="63">
        <v>0.93600000000000005</v>
      </c>
      <c r="G710" s="63">
        <v>5.3999999999999999E-2</v>
      </c>
      <c r="H710" s="63">
        <v>9.18</v>
      </c>
      <c r="I710" s="63">
        <v>41.76</v>
      </c>
      <c r="J710" s="96">
        <v>0.72</v>
      </c>
      <c r="K710" s="136"/>
      <c r="L710" s="799"/>
      <c r="M710" s="64"/>
      <c r="N710" s="114">
        <v>100</v>
      </c>
      <c r="O710" s="68">
        <f>SUM(N710*D710)/1000</f>
        <v>1.8</v>
      </c>
    </row>
    <row r="711" spans="1:15" x14ac:dyDescent="0.25">
      <c r="A711" s="782"/>
      <c r="B711" s="107" t="s">
        <v>38</v>
      </c>
      <c r="C711" s="107"/>
      <c r="D711" s="63">
        <v>14.4</v>
      </c>
      <c r="E711" s="63">
        <v>14.4</v>
      </c>
      <c r="F711" s="63">
        <v>0</v>
      </c>
      <c r="G711" s="63">
        <v>0</v>
      </c>
      <c r="H711" s="63">
        <v>14.371</v>
      </c>
      <c r="I711" s="63">
        <v>54.576000000000001</v>
      </c>
      <c r="J711" s="96">
        <v>0</v>
      </c>
      <c r="K711" s="136"/>
      <c r="L711" s="799"/>
      <c r="M711" s="64"/>
      <c r="N711" s="114">
        <v>50.7</v>
      </c>
      <c r="O711" s="68">
        <f>SUM(N711*D711)/1000</f>
        <v>0.73008000000000006</v>
      </c>
    </row>
    <row r="712" spans="1:15" x14ac:dyDescent="0.25">
      <c r="A712" s="782"/>
      <c r="B712" s="107" t="s">
        <v>19</v>
      </c>
      <c r="C712" s="107"/>
      <c r="D712" s="63">
        <v>182.7</v>
      </c>
      <c r="E712" s="63">
        <v>182.7</v>
      </c>
      <c r="F712" s="63">
        <v>0</v>
      </c>
      <c r="G712" s="63">
        <v>0</v>
      </c>
      <c r="H712" s="63">
        <v>0</v>
      </c>
      <c r="I712" s="63">
        <v>0</v>
      </c>
      <c r="J712" s="96">
        <v>0</v>
      </c>
      <c r="K712" s="136"/>
      <c r="L712" s="799"/>
      <c r="M712" s="64"/>
      <c r="N712" s="114">
        <v>0</v>
      </c>
      <c r="O712" s="68">
        <f>SUM(N712*D712)/1000</f>
        <v>0</v>
      </c>
    </row>
    <row r="713" spans="1:15" x14ac:dyDescent="0.25">
      <c r="A713" s="782"/>
      <c r="B713" s="107"/>
      <c r="C713" s="107"/>
      <c r="D713" s="63"/>
      <c r="E713" s="63"/>
      <c r="F713" s="118">
        <f>SUM(F710:F712)</f>
        <v>0.93600000000000005</v>
      </c>
      <c r="G713" s="118">
        <f t="shared" ref="G713:J713" si="62">SUM(G710:G712)</f>
        <v>5.3999999999999999E-2</v>
      </c>
      <c r="H713" s="118">
        <f t="shared" si="62"/>
        <v>23.551000000000002</v>
      </c>
      <c r="I713" s="118">
        <f t="shared" si="62"/>
        <v>96.335999999999999</v>
      </c>
      <c r="J713" s="118">
        <f t="shared" si="62"/>
        <v>0.72</v>
      </c>
      <c r="K713" s="153"/>
      <c r="L713" s="799"/>
      <c r="M713" s="64"/>
      <c r="N713" s="114"/>
      <c r="O713" s="72">
        <f>SUM(O710:O712)</f>
        <v>2.5300799999999999</v>
      </c>
    </row>
    <row r="714" spans="1:15" ht="30" x14ac:dyDescent="0.25">
      <c r="A714" s="782"/>
      <c r="B714" s="435" t="s">
        <v>324</v>
      </c>
      <c r="C714" s="124">
        <v>70</v>
      </c>
      <c r="D714" s="63">
        <v>70</v>
      </c>
      <c r="E714" s="63">
        <v>70</v>
      </c>
      <c r="F714" s="118">
        <v>3.85</v>
      </c>
      <c r="G714" s="118">
        <v>1.5</v>
      </c>
      <c r="H714" s="118">
        <v>24.9</v>
      </c>
      <c r="I714" s="118">
        <v>131</v>
      </c>
      <c r="J714" s="139">
        <v>0</v>
      </c>
      <c r="K714" s="153" t="s">
        <v>73</v>
      </c>
      <c r="L714" s="799"/>
      <c r="M714" s="64">
        <v>40</v>
      </c>
      <c r="N714" s="114">
        <v>35</v>
      </c>
      <c r="O714" s="72">
        <f>SUM(N714*D714)/1000</f>
        <v>2.4500000000000002</v>
      </c>
    </row>
    <row r="715" spans="1:15" x14ac:dyDescent="0.25">
      <c r="A715" s="783"/>
      <c r="B715" s="124" t="s">
        <v>74</v>
      </c>
      <c r="C715" s="227"/>
      <c r="D715" s="102"/>
      <c r="E715" s="63"/>
      <c r="F715" s="142">
        <f>SUM(F688,F689,F694, F705,F713:F714)</f>
        <v>34.803600000000003</v>
      </c>
      <c r="G715" s="142">
        <f t="shared" ref="G715:J715" si="63">SUM(G688,G689,G694, G705,G713:G714)</f>
        <v>21.249200000000002</v>
      </c>
      <c r="H715" s="142">
        <f t="shared" si="63"/>
        <v>100.024</v>
      </c>
      <c r="I715" s="142">
        <f t="shared" si="63"/>
        <v>732.99099999999999</v>
      </c>
      <c r="J715" s="142">
        <f t="shared" si="63"/>
        <v>13.06</v>
      </c>
      <c r="K715" s="251"/>
      <c r="L715" s="800"/>
      <c r="M715" s="35">
        <f>SUM(M689:M714)</f>
        <v>446</v>
      </c>
      <c r="N715" s="235"/>
      <c r="O715" s="36" t="e">
        <f>SUM(#REF!,O695,O703,O713:O714)</f>
        <v>#REF!</v>
      </c>
    </row>
    <row r="716" spans="1:15" x14ac:dyDescent="0.25">
      <c r="A716" s="456" t="s">
        <v>75</v>
      </c>
      <c r="B716" s="13"/>
      <c r="C716" s="4"/>
      <c r="D716" s="105"/>
      <c r="E716" s="106"/>
      <c r="F716" s="228"/>
      <c r="G716" s="228"/>
      <c r="H716" s="228"/>
      <c r="I716" s="228"/>
      <c r="J716" s="229"/>
      <c r="K716" s="153"/>
      <c r="L716" s="464"/>
      <c r="M716" s="64"/>
      <c r="N716" s="65"/>
      <c r="O716" s="64"/>
    </row>
    <row r="717" spans="1:15" x14ac:dyDescent="0.25">
      <c r="A717" s="457"/>
      <c r="B717" s="437" t="s">
        <v>81</v>
      </c>
      <c r="C717" s="124">
        <v>87</v>
      </c>
      <c r="D717" s="63"/>
      <c r="E717" s="13"/>
      <c r="F717" s="13"/>
      <c r="G717" s="13"/>
      <c r="H717" s="13"/>
      <c r="I717" s="13"/>
      <c r="J717" s="231"/>
      <c r="K717" s="125" t="s">
        <v>216</v>
      </c>
      <c r="L717" s="465"/>
      <c r="M717" s="64">
        <v>85</v>
      </c>
      <c r="N717" s="65"/>
      <c r="O717" s="64"/>
    </row>
    <row r="718" spans="1:15" x14ac:dyDescent="0.25">
      <c r="A718" s="457"/>
      <c r="B718" s="428" t="s">
        <v>163</v>
      </c>
      <c r="C718" s="96"/>
      <c r="D718" s="63">
        <v>60</v>
      </c>
      <c r="E718" s="63" t="s">
        <v>273</v>
      </c>
      <c r="F718" s="63">
        <v>5.5880000000000001</v>
      </c>
      <c r="G718" s="63">
        <v>5.0599999999999996</v>
      </c>
      <c r="H718" s="63">
        <v>0.308</v>
      </c>
      <c r="I718" s="63">
        <v>69.08</v>
      </c>
      <c r="J718" s="231">
        <v>0</v>
      </c>
      <c r="K718" s="126"/>
      <c r="L718" s="465"/>
      <c r="M718" s="64"/>
      <c r="N718" s="114">
        <v>4.6989999999999998</v>
      </c>
      <c r="O718" s="68">
        <f>SUM(N718*D718)/40</f>
        <v>7.0484999999999998</v>
      </c>
    </row>
    <row r="719" spans="1:15" x14ac:dyDescent="0.25">
      <c r="A719" s="457"/>
      <c r="B719" s="428" t="s">
        <v>141</v>
      </c>
      <c r="C719" s="96"/>
      <c r="D719" s="63">
        <v>22.5</v>
      </c>
      <c r="E719" s="63">
        <v>22.5</v>
      </c>
      <c r="F719" s="63">
        <v>0.47599999999999998</v>
      </c>
      <c r="G719" s="63">
        <v>0.54400000000000004</v>
      </c>
      <c r="H719" s="63">
        <v>0.79900000000000004</v>
      </c>
      <c r="I719" s="63">
        <v>9.86</v>
      </c>
      <c r="J719" s="231">
        <v>0.221</v>
      </c>
      <c r="K719" s="126"/>
      <c r="L719" s="465"/>
      <c r="M719" s="64"/>
      <c r="N719" s="114">
        <v>43.22</v>
      </c>
      <c r="O719" s="68">
        <f t="shared" ref="O719:O723" si="64">SUM(N719*D719)/1000</f>
        <v>0.97244999999999993</v>
      </c>
    </row>
    <row r="720" spans="1:15" ht="16.5" customHeight="1" x14ac:dyDescent="0.25">
      <c r="A720" s="457"/>
      <c r="B720" s="434" t="s">
        <v>218</v>
      </c>
      <c r="C720" s="201"/>
      <c r="D720" s="331"/>
      <c r="E720" s="331">
        <v>82.5</v>
      </c>
      <c r="F720" s="63"/>
      <c r="G720" s="63"/>
      <c r="H720" s="63"/>
      <c r="I720" s="63"/>
      <c r="J720" s="231"/>
      <c r="K720" s="126"/>
      <c r="L720" s="465"/>
      <c r="M720" s="64"/>
      <c r="N720" s="114">
        <v>0</v>
      </c>
      <c r="O720" s="68">
        <f t="shared" si="64"/>
        <v>0</v>
      </c>
    </row>
    <row r="721" spans="1:15" x14ac:dyDescent="0.25">
      <c r="A721" s="457"/>
      <c r="B721" s="428" t="s">
        <v>21</v>
      </c>
      <c r="C721" s="96"/>
      <c r="D721" s="195">
        <v>3</v>
      </c>
      <c r="E721" s="63">
        <v>3</v>
      </c>
      <c r="F721" s="63">
        <v>3.2000000000000001E-2</v>
      </c>
      <c r="G721" s="63">
        <v>2.9</v>
      </c>
      <c r="H721" s="63">
        <v>5.1999999999999998E-2</v>
      </c>
      <c r="I721" s="63">
        <v>26.44</v>
      </c>
      <c r="J721" s="231">
        <v>0</v>
      </c>
      <c r="K721" s="152"/>
      <c r="L721" s="465"/>
      <c r="M721" s="64"/>
      <c r="N721" s="114">
        <v>367.98</v>
      </c>
      <c r="O721" s="68">
        <f t="shared" si="64"/>
        <v>1.1039400000000001</v>
      </c>
    </row>
    <row r="722" spans="1:15" ht="30" x14ac:dyDescent="0.25">
      <c r="A722" s="457"/>
      <c r="B722" s="434" t="s">
        <v>82</v>
      </c>
      <c r="C722" s="201"/>
      <c r="D722" s="331"/>
      <c r="E722" s="331">
        <v>79.5</v>
      </c>
      <c r="F722" s="63"/>
      <c r="G722" s="63"/>
      <c r="H722" s="63"/>
      <c r="I722" s="63"/>
      <c r="J722" s="231"/>
      <c r="K722" s="152"/>
      <c r="L722" s="465"/>
      <c r="M722" s="64"/>
      <c r="N722" s="114">
        <v>0</v>
      </c>
      <c r="O722" s="68">
        <f t="shared" si="64"/>
        <v>0</v>
      </c>
    </row>
    <row r="723" spans="1:15" x14ac:dyDescent="0.25">
      <c r="A723" s="457"/>
      <c r="B723" s="428" t="s">
        <v>21</v>
      </c>
      <c r="C723" s="96"/>
      <c r="D723" s="63">
        <v>7.5</v>
      </c>
      <c r="E723" s="63">
        <v>7.5</v>
      </c>
      <c r="F723" s="63">
        <v>0.04</v>
      </c>
      <c r="G723" s="63">
        <v>3.625</v>
      </c>
      <c r="H723" s="63">
        <v>6.5000000000000002E-2</v>
      </c>
      <c r="I723" s="63">
        <v>3.05</v>
      </c>
      <c r="J723" s="231">
        <v>0</v>
      </c>
      <c r="K723" s="152"/>
      <c r="L723" s="465"/>
      <c r="M723" s="64"/>
      <c r="N723" s="114">
        <v>367.98</v>
      </c>
      <c r="O723" s="68">
        <f t="shared" si="64"/>
        <v>2.7598500000000006</v>
      </c>
    </row>
    <row r="724" spans="1:15" x14ac:dyDescent="0.25">
      <c r="A724" s="457"/>
      <c r="B724" s="428"/>
      <c r="C724" s="96"/>
      <c r="D724" s="63"/>
      <c r="E724" s="63"/>
      <c r="F724" s="118">
        <f>SUM(F718:F723)</f>
        <v>6.1360000000000001</v>
      </c>
      <c r="G724" s="118">
        <f>SUM(G718:G723)</f>
        <v>12.129</v>
      </c>
      <c r="H724" s="118">
        <f>SUM(H718:H723)</f>
        <v>1.224</v>
      </c>
      <c r="I724" s="118">
        <f>SUM(I718:I723)</f>
        <v>108.42999999999999</v>
      </c>
      <c r="J724" s="119">
        <f>SUM(J718:J723)</f>
        <v>0.221</v>
      </c>
      <c r="K724" s="153"/>
      <c r="L724" s="465"/>
      <c r="M724" s="64"/>
      <c r="N724" s="65"/>
      <c r="O724" s="72">
        <f>SUM(O718:O723)</f>
        <v>11.884739999999999</v>
      </c>
    </row>
    <row r="725" spans="1:15" ht="28.5" x14ac:dyDescent="0.25">
      <c r="A725" s="457"/>
      <c r="B725" s="124" t="s">
        <v>151</v>
      </c>
      <c r="C725" s="124">
        <v>30</v>
      </c>
      <c r="D725" s="63">
        <v>30</v>
      </c>
      <c r="E725" s="63">
        <v>30</v>
      </c>
      <c r="F725" s="63">
        <v>0.31</v>
      </c>
      <c r="G725" s="63">
        <v>0.02</v>
      </c>
      <c r="H725" s="63">
        <v>0.65</v>
      </c>
      <c r="I725" s="63">
        <v>4</v>
      </c>
      <c r="J725" s="96">
        <v>1</v>
      </c>
      <c r="K725" s="156" t="s">
        <v>73</v>
      </c>
      <c r="L725" s="466"/>
      <c r="M725" s="64"/>
      <c r="N725" s="65"/>
      <c r="O725" s="72"/>
    </row>
    <row r="726" spans="1:15" x14ac:dyDescent="0.25">
      <c r="A726" s="782"/>
      <c r="B726" s="328" t="s">
        <v>40</v>
      </c>
      <c r="C726" s="124">
        <v>20</v>
      </c>
      <c r="D726" s="63">
        <v>20</v>
      </c>
      <c r="E726" s="63">
        <v>20</v>
      </c>
      <c r="F726" s="118">
        <v>2.31</v>
      </c>
      <c r="G726" s="118">
        <v>0.9</v>
      </c>
      <c r="H726" s="118">
        <v>14.94</v>
      </c>
      <c r="I726" s="118">
        <v>78.599999999999994</v>
      </c>
      <c r="J726" s="119">
        <v>0</v>
      </c>
      <c r="K726" s="156" t="s">
        <v>73</v>
      </c>
      <c r="L726" s="785"/>
      <c r="M726" s="64">
        <v>20</v>
      </c>
      <c r="N726" s="65">
        <v>35</v>
      </c>
      <c r="O726" s="72">
        <f>SUM(D726*N726)/1000</f>
        <v>0.7</v>
      </c>
    </row>
    <row r="727" spans="1:15" x14ac:dyDescent="0.25">
      <c r="A727" s="782"/>
      <c r="B727" s="435" t="s">
        <v>72</v>
      </c>
      <c r="C727" s="105" t="s">
        <v>187</v>
      </c>
      <c r="D727" s="13"/>
      <c r="E727" s="13"/>
      <c r="F727" s="13"/>
      <c r="G727" s="13"/>
      <c r="H727" s="13"/>
      <c r="I727" s="13"/>
      <c r="J727" s="96"/>
      <c r="K727" s="125" t="s">
        <v>188</v>
      </c>
      <c r="L727" s="785"/>
      <c r="M727" s="64">
        <v>190</v>
      </c>
      <c r="N727" s="65"/>
      <c r="O727" s="68"/>
    </row>
    <row r="728" spans="1:15" x14ac:dyDescent="0.25">
      <c r="A728" s="782"/>
      <c r="B728" s="435" t="s">
        <v>184</v>
      </c>
      <c r="C728" s="124"/>
      <c r="D728" s="13">
        <v>30</v>
      </c>
      <c r="E728" s="13">
        <v>30</v>
      </c>
      <c r="F728" s="13"/>
      <c r="G728" s="13"/>
      <c r="H728" s="13"/>
      <c r="I728" s="13"/>
      <c r="J728" s="96"/>
      <c r="K728" s="125"/>
      <c r="L728" s="785"/>
      <c r="M728" s="64"/>
      <c r="N728" s="65"/>
      <c r="O728" s="68"/>
    </row>
    <row r="729" spans="1:15" x14ac:dyDescent="0.25">
      <c r="A729" s="782"/>
      <c r="B729" s="107" t="s">
        <v>120</v>
      </c>
      <c r="C729" s="124"/>
      <c r="D729" s="63">
        <v>32.4</v>
      </c>
      <c r="E729" s="63">
        <v>32.4</v>
      </c>
      <c r="F729" s="63">
        <v>0</v>
      </c>
      <c r="G729" s="63">
        <v>0</v>
      </c>
      <c r="H729" s="63">
        <v>0</v>
      </c>
      <c r="I729" s="63">
        <v>0</v>
      </c>
      <c r="J729" s="96">
        <v>0</v>
      </c>
      <c r="K729" s="125"/>
      <c r="L729" s="785"/>
      <c r="M729" s="64"/>
      <c r="N729" s="65"/>
      <c r="O729" s="68"/>
    </row>
    <row r="730" spans="1:15" x14ac:dyDescent="0.25">
      <c r="A730" s="782"/>
      <c r="B730" s="107" t="s">
        <v>185</v>
      </c>
      <c r="C730" s="107"/>
      <c r="D730" s="63">
        <v>0.3</v>
      </c>
      <c r="E730" s="63">
        <v>0.3</v>
      </c>
      <c r="F730" s="63">
        <v>0.06</v>
      </c>
      <c r="G730" s="63">
        <v>0</v>
      </c>
      <c r="H730" s="63">
        <v>2.07E-2</v>
      </c>
      <c r="I730" s="63">
        <v>0.45540000000000003</v>
      </c>
      <c r="J730" s="96">
        <v>0.03</v>
      </c>
      <c r="K730" s="126"/>
      <c r="L730" s="785"/>
      <c r="M730" s="64"/>
      <c r="N730" s="114">
        <v>400</v>
      </c>
      <c r="O730" s="68">
        <f>SUM(N730*D730)/1000</f>
        <v>0.12</v>
      </c>
    </row>
    <row r="731" spans="1:15" x14ac:dyDescent="0.25">
      <c r="A731" s="782"/>
      <c r="B731" s="107" t="s">
        <v>49</v>
      </c>
      <c r="C731" s="107"/>
      <c r="D731" s="63">
        <v>10</v>
      </c>
      <c r="E731" s="63">
        <v>10</v>
      </c>
      <c r="F731" s="63">
        <v>0</v>
      </c>
      <c r="G731" s="63">
        <v>0</v>
      </c>
      <c r="H731" s="63">
        <v>9.98</v>
      </c>
      <c r="I731" s="63">
        <v>37.9</v>
      </c>
      <c r="J731" s="96">
        <v>0</v>
      </c>
      <c r="K731" s="126"/>
      <c r="L731" s="785"/>
      <c r="M731" s="64"/>
      <c r="N731" s="114">
        <v>50.7</v>
      </c>
      <c r="O731" s="68">
        <f>SUM(N731*D731)/1000</f>
        <v>0.50700000000000001</v>
      </c>
    </row>
    <row r="732" spans="1:15" x14ac:dyDescent="0.25">
      <c r="A732" s="782"/>
      <c r="B732" s="107" t="s">
        <v>19</v>
      </c>
      <c r="C732" s="107"/>
      <c r="D732" s="63">
        <v>150</v>
      </c>
      <c r="E732" s="63">
        <v>150</v>
      </c>
      <c r="F732" s="63">
        <v>0</v>
      </c>
      <c r="G732" s="63">
        <v>0</v>
      </c>
      <c r="H732" s="63">
        <v>0</v>
      </c>
      <c r="I732" s="63">
        <v>0</v>
      </c>
      <c r="J732" s="96">
        <v>0</v>
      </c>
      <c r="K732" s="126"/>
      <c r="L732" s="785"/>
      <c r="M732" s="64"/>
      <c r="N732" s="114">
        <v>0</v>
      </c>
      <c r="O732" s="68">
        <f>SUM(N732*D732)/1000</f>
        <v>0</v>
      </c>
    </row>
    <row r="733" spans="1:15" x14ac:dyDescent="0.25">
      <c r="A733" s="782"/>
      <c r="B733" s="157"/>
      <c r="C733" s="157"/>
      <c r="D733" s="51"/>
      <c r="E733" s="51"/>
      <c r="F733" s="274">
        <f>SUM(F730:F732)</f>
        <v>0.06</v>
      </c>
      <c r="G733" s="274">
        <f>SUM(G730:G732)</f>
        <v>0</v>
      </c>
      <c r="H733" s="274">
        <f>SUM(H730:H732)</f>
        <v>10.0007</v>
      </c>
      <c r="I733" s="274">
        <f>SUM(I730:I732)</f>
        <v>38.355399999999996</v>
      </c>
      <c r="J733" s="279">
        <f>SUM(J730:J732)</f>
        <v>0.03</v>
      </c>
      <c r="K733" s="156"/>
      <c r="L733" s="785"/>
      <c r="M733" s="64"/>
      <c r="N733" s="65"/>
      <c r="O733" s="72">
        <f>SUM(O730:O732)</f>
        <v>0.627</v>
      </c>
    </row>
    <row r="734" spans="1:15" x14ac:dyDescent="0.25">
      <c r="A734" s="783"/>
      <c r="B734" s="124" t="s">
        <v>46</v>
      </c>
      <c r="C734" s="124"/>
      <c r="D734" s="63"/>
      <c r="E734" s="63"/>
      <c r="F734" s="282">
        <f>SUM(F726,F724,F733)</f>
        <v>8.5060000000000002</v>
      </c>
      <c r="G734" s="282">
        <f t="shared" ref="G734:J734" si="65">SUM(G726,G724,G733)</f>
        <v>13.029</v>
      </c>
      <c r="H734" s="282">
        <f t="shared" si="65"/>
        <v>26.164699999999996</v>
      </c>
      <c r="I734" s="282">
        <f t="shared" si="65"/>
        <v>225.38539999999998</v>
      </c>
      <c r="J734" s="282">
        <f t="shared" si="65"/>
        <v>0.251</v>
      </c>
      <c r="K734" s="158"/>
      <c r="L734" s="786"/>
      <c r="M734" s="69">
        <f>SUM(M726:M733)</f>
        <v>210</v>
      </c>
      <c r="N734" s="65"/>
      <c r="O734" s="142" t="e">
        <f>SUM(O726:O726,#REF!)</f>
        <v>#REF!</v>
      </c>
    </row>
    <row r="735" spans="1:15" ht="25.5" x14ac:dyDescent="0.25">
      <c r="A735" s="10" t="s">
        <v>164</v>
      </c>
      <c r="B735" s="146"/>
      <c r="C735" s="22"/>
      <c r="D735" s="23"/>
      <c r="E735" s="23"/>
      <c r="F735" s="11">
        <f>SUM(F678,F715,F734)</f>
        <v>55.3596</v>
      </c>
      <c r="G735" s="11">
        <f>SUM(G678,G715,G734)</f>
        <v>42.616200000000006</v>
      </c>
      <c r="H735" s="11">
        <f>SUM(H678,H715,H734)</f>
        <v>208.61239999999998</v>
      </c>
      <c r="I735" s="11">
        <f>SUM(I678,I715,I734)</f>
        <v>1406.9437999999998</v>
      </c>
      <c r="J735" s="11">
        <f>SUM(J678,J715,J734)</f>
        <v>15.976000000000001</v>
      </c>
      <c r="K735" s="30"/>
      <c r="L735" s="471"/>
      <c r="M735" s="31"/>
      <c r="N735" s="32"/>
      <c r="O735" s="33" t="e">
        <f>SUM(O678,O715,O734)</f>
        <v>#REF!</v>
      </c>
    </row>
    <row r="736" spans="1:15" x14ac:dyDescent="0.25">
      <c r="A736" s="5" t="s">
        <v>165</v>
      </c>
      <c r="B736" s="13"/>
      <c r="C736" s="13"/>
      <c r="D736" s="63"/>
      <c r="E736" s="63"/>
      <c r="F736" s="13"/>
      <c r="G736" s="13"/>
      <c r="H736" s="13"/>
      <c r="I736" s="13"/>
      <c r="J736" s="96"/>
      <c r="K736" s="155"/>
      <c r="L736" s="464"/>
      <c r="M736" s="64"/>
      <c r="N736" s="65"/>
      <c r="O736" s="64"/>
    </row>
    <row r="737" spans="1:15" x14ac:dyDescent="0.25">
      <c r="A737" s="456" t="s">
        <v>16</v>
      </c>
      <c r="B737" s="13"/>
      <c r="C737" s="4"/>
      <c r="D737" s="105"/>
      <c r="E737" s="106"/>
      <c r="F737" s="63"/>
      <c r="G737" s="63"/>
      <c r="H737" s="63"/>
      <c r="I737" s="63"/>
      <c r="J737" s="96"/>
      <c r="K737" s="155"/>
      <c r="L737" s="464"/>
      <c r="M737" s="64"/>
      <c r="N737" s="65"/>
      <c r="O737" s="64"/>
    </row>
    <row r="738" spans="1:15" ht="43.5" x14ac:dyDescent="0.25">
      <c r="A738" s="457"/>
      <c r="B738" s="338" t="s">
        <v>225</v>
      </c>
      <c r="C738" s="339">
        <v>200</v>
      </c>
      <c r="D738" s="340"/>
      <c r="E738" s="340"/>
      <c r="F738" s="401">
        <f>F739+F740+F741+F742+F743</f>
        <v>5.7041000000000004</v>
      </c>
      <c r="G738" s="401">
        <f>G739+G740+G741+G742+G743</f>
        <v>3.3414000000000001</v>
      </c>
      <c r="H738" s="401">
        <f>H739+H740+H741+H742+H743</f>
        <v>39.474900000000005</v>
      </c>
      <c r="I738" s="401">
        <f>I739+I740+I741+I742+I743</f>
        <v>208.82599999999999</v>
      </c>
      <c r="J738" s="401">
        <f>J739+J740+J741+J742+J743</f>
        <v>1.2376</v>
      </c>
      <c r="K738" s="480" t="s">
        <v>226</v>
      </c>
      <c r="L738" s="465"/>
      <c r="M738" s="64">
        <v>180</v>
      </c>
      <c r="N738" s="65"/>
      <c r="O738" s="64"/>
    </row>
    <row r="739" spans="1:15" x14ac:dyDescent="0.25">
      <c r="A739" s="457"/>
      <c r="B739" s="342" t="s">
        <v>227</v>
      </c>
      <c r="C739" s="343"/>
      <c r="D739" s="340">
        <v>29.5</v>
      </c>
      <c r="E739" s="340">
        <v>29.5</v>
      </c>
      <c r="F739" s="340">
        <f>10.3*E739/100</f>
        <v>3.0385000000000004</v>
      </c>
      <c r="G739" s="340">
        <f>1*E739/100</f>
        <v>0.29499999999999998</v>
      </c>
      <c r="H739" s="344">
        <f>67.9*E739/100</f>
        <v>20.030500000000004</v>
      </c>
      <c r="I739" s="345">
        <f>328*E739/100</f>
        <v>96.76</v>
      </c>
      <c r="J739" s="346">
        <v>0</v>
      </c>
      <c r="K739" s="480"/>
      <c r="L739" s="465"/>
      <c r="M739" s="64"/>
      <c r="N739" s="114">
        <v>43.22</v>
      </c>
      <c r="O739" s="68">
        <f t="shared" ref="O739:O744" si="66">SUM(N739*D739)/1000</f>
        <v>1.2749900000000001</v>
      </c>
    </row>
    <row r="740" spans="1:15" x14ac:dyDescent="0.25">
      <c r="A740" s="457"/>
      <c r="B740" s="342" t="s">
        <v>228</v>
      </c>
      <c r="C740" s="343"/>
      <c r="D740" s="340">
        <v>95.2</v>
      </c>
      <c r="E740" s="340">
        <v>95.2</v>
      </c>
      <c r="F740" s="340">
        <f>2.8*E740/100</f>
        <v>2.6656</v>
      </c>
      <c r="G740" s="340">
        <f>3.2*E740/100</f>
        <v>3.0464000000000002</v>
      </c>
      <c r="H740" s="344">
        <f>4.7*E740/100</f>
        <v>4.4744000000000002</v>
      </c>
      <c r="I740" s="345">
        <f>58*E740/100</f>
        <v>55.216000000000001</v>
      </c>
      <c r="J740" s="346">
        <f>1.3*E740/100</f>
        <v>1.2376</v>
      </c>
      <c r="K740" s="480"/>
      <c r="L740" s="465"/>
      <c r="M740" s="64"/>
      <c r="N740" s="114">
        <v>0</v>
      </c>
      <c r="O740" s="68">
        <f t="shared" si="66"/>
        <v>0</v>
      </c>
    </row>
    <row r="741" spans="1:15" x14ac:dyDescent="0.25">
      <c r="A741" s="457"/>
      <c r="B741" s="342" t="s">
        <v>229</v>
      </c>
      <c r="C741" s="343"/>
      <c r="D741" s="340">
        <v>71.400000000000006</v>
      </c>
      <c r="E741" s="340">
        <v>71.400000000000006</v>
      </c>
      <c r="F741" s="340">
        <v>0</v>
      </c>
      <c r="G741" s="340">
        <v>0</v>
      </c>
      <c r="H741" s="344">
        <v>0</v>
      </c>
      <c r="I741" s="345">
        <v>0</v>
      </c>
      <c r="J741" s="346">
        <v>0</v>
      </c>
      <c r="K741" s="480"/>
      <c r="L741" s="465"/>
      <c r="M741" s="64"/>
      <c r="N741" s="114">
        <v>32.659999999999997</v>
      </c>
      <c r="O741" s="68">
        <f t="shared" si="66"/>
        <v>2.3319239999999999</v>
      </c>
    </row>
    <row r="742" spans="1:15" x14ac:dyDescent="0.25">
      <c r="A742" s="457"/>
      <c r="B742" s="342" t="s">
        <v>230</v>
      </c>
      <c r="C742" s="343"/>
      <c r="D742" s="340">
        <v>15</v>
      </c>
      <c r="E742" s="340">
        <v>15</v>
      </c>
      <c r="F742" s="340">
        <v>0</v>
      </c>
      <c r="G742" s="340">
        <v>0</v>
      </c>
      <c r="H742" s="347">
        <f>99.8*E742/100</f>
        <v>14.97</v>
      </c>
      <c r="I742" s="345">
        <f>379*E742/100</f>
        <v>56.85</v>
      </c>
      <c r="J742" s="346">
        <v>0</v>
      </c>
      <c r="K742" s="480"/>
      <c r="L742" s="465"/>
      <c r="M742" s="64"/>
      <c r="N742" s="114">
        <v>376.98</v>
      </c>
      <c r="O742" s="68">
        <f t="shared" si="66"/>
        <v>5.6547000000000009</v>
      </c>
    </row>
    <row r="743" spans="1:15" x14ac:dyDescent="0.25">
      <c r="A743" s="457"/>
      <c r="B743" s="342" t="s">
        <v>231</v>
      </c>
      <c r="C743" s="343"/>
      <c r="D743" s="340">
        <v>0.3</v>
      </c>
      <c r="E743" s="340">
        <v>0.3</v>
      </c>
      <c r="F743" s="340">
        <v>0</v>
      </c>
      <c r="G743" s="340">
        <v>0</v>
      </c>
      <c r="H743" s="340">
        <v>0</v>
      </c>
      <c r="I743" s="345">
        <v>0</v>
      </c>
      <c r="J743" s="346">
        <v>0</v>
      </c>
      <c r="K743" s="480"/>
      <c r="L743" s="465"/>
      <c r="M743" s="64"/>
      <c r="N743" s="114">
        <v>50.7</v>
      </c>
      <c r="O743" s="68">
        <f t="shared" si="66"/>
        <v>1.5210000000000001E-2</v>
      </c>
    </row>
    <row r="744" spans="1:15" x14ac:dyDescent="0.25">
      <c r="A744" s="457"/>
      <c r="B744" s="173" t="s">
        <v>48</v>
      </c>
      <c r="C744" s="107"/>
      <c r="D744" s="63">
        <v>0</v>
      </c>
      <c r="E744" s="63">
        <v>0</v>
      </c>
      <c r="F744" s="63">
        <v>0</v>
      </c>
      <c r="G744" s="63">
        <v>0</v>
      </c>
      <c r="H744" s="63">
        <v>0</v>
      </c>
      <c r="I744" s="63">
        <v>0</v>
      </c>
      <c r="J744" s="96">
        <v>0</v>
      </c>
      <c r="K744" s="126"/>
      <c r="L744" s="465"/>
      <c r="M744" s="64"/>
      <c r="N744" s="114">
        <v>16.62</v>
      </c>
      <c r="O744" s="68">
        <f t="shared" si="66"/>
        <v>0</v>
      </c>
    </row>
    <row r="745" spans="1:15" x14ac:dyDescent="0.25">
      <c r="A745" s="782"/>
      <c r="B745" s="397" t="s">
        <v>23</v>
      </c>
      <c r="C745" s="122">
        <v>40</v>
      </c>
      <c r="D745" s="13"/>
      <c r="E745" s="123"/>
      <c r="F745" s="118">
        <f>F746+F747</f>
        <v>2.39</v>
      </c>
      <c r="G745" s="118">
        <f t="shared" ref="G745:J745" si="67">G746+G747</f>
        <v>8.15</v>
      </c>
      <c r="H745" s="118">
        <f t="shared" si="67"/>
        <v>15.07</v>
      </c>
      <c r="I745" s="118">
        <f t="shared" si="67"/>
        <v>144.69999999999999</v>
      </c>
      <c r="J745" s="118">
        <f t="shared" si="67"/>
        <v>0</v>
      </c>
      <c r="K745" s="112" t="s">
        <v>24</v>
      </c>
      <c r="L745" s="810"/>
      <c r="M745" s="64"/>
      <c r="N745" s="65"/>
      <c r="O745" s="72" t="e">
        <f>SUM(#REF!)</f>
        <v>#REF!</v>
      </c>
    </row>
    <row r="746" spans="1:15" x14ac:dyDescent="0.25">
      <c r="A746" s="782"/>
      <c r="B746" s="107" t="s">
        <v>21</v>
      </c>
      <c r="C746" s="194"/>
      <c r="D746" s="63">
        <v>10</v>
      </c>
      <c r="E746" s="63">
        <v>10</v>
      </c>
      <c r="F746" s="63">
        <v>0.08</v>
      </c>
      <c r="G746" s="63">
        <v>7.25</v>
      </c>
      <c r="H746" s="63">
        <v>0.13</v>
      </c>
      <c r="I746" s="63">
        <v>66.099999999999994</v>
      </c>
      <c r="J746" s="231">
        <v>0</v>
      </c>
      <c r="K746" s="112"/>
      <c r="L746" s="810"/>
      <c r="M746" s="64"/>
      <c r="N746" s="65"/>
      <c r="O746" s="72"/>
    </row>
    <row r="747" spans="1:15" x14ac:dyDescent="0.25">
      <c r="A747" s="782"/>
      <c r="B747" s="107" t="s">
        <v>25</v>
      </c>
      <c r="C747" s="194"/>
      <c r="D747" s="63">
        <v>30</v>
      </c>
      <c r="E747" s="63">
        <v>30</v>
      </c>
      <c r="F747" s="63">
        <v>2.31</v>
      </c>
      <c r="G747" s="63">
        <v>0.9</v>
      </c>
      <c r="H747" s="63">
        <v>14.94</v>
      </c>
      <c r="I747" s="63">
        <v>78.599999999999994</v>
      </c>
      <c r="J747" s="231">
        <v>0</v>
      </c>
      <c r="K747" s="112"/>
      <c r="L747" s="810"/>
      <c r="M747" s="64"/>
      <c r="N747" s="65"/>
      <c r="O747" s="72"/>
    </row>
    <row r="748" spans="1:15" x14ac:dyDescent="0.25">
      <c r="A748" s="782"/>
      <c r="B748" s="397" t="s">
        <v>72</v>
      </c>
      <c r="C748" s="105" t="s">
        <v>187</v>
      </c>
      <c r="D748" s="13"/>
      <c r="E748" s="13"/>
      <c r="F748" s="118">
        <f>F750+F751+F752+F753</f>
        <v>0.06</v>
      </c>
      <c r="G748" s="118">
        <f t="shared" ref="G748:J748" si="68">G750+G751+G752+G753</f>
        <v>0</v>
      </c>
      <c r="H748" s="118">
        <f t="shared" si="68"/>
        <v>10.0007</v>
      </c>
      <c r="I748" s="118">
        <f t="shared" si="68"/>
        <v>38.355399999999996</v>
      </c>
      <c r="J748" s="118">
        <f t="shared" si="68"/>
        <v>0.03</v>
      </c>
      <c r="K748" s="125" t="s">
        <v>188</v>
      </c>
      <c r="L748" s="810"/>
      <c r="M748" s="64">
        <v>180</v>
      </c>
      <c r="N748" s="84"/>
      <c r="O748" s="85"/>
    </row>
    <row r="749" spans="1:15" x14ac:dyDescent="0.25">
      <c r="A749" s="782"/>
      <c r="B749" s="397" t="s">
        <v>184</v>
      </c>
      <c r="C749" s="124"/>
      <c r="D749" s="13">
        <v>30</v>
      </c>
      <c r="E749" s="13">
        <v>30</v>
      </c>
      <c r="F749" s="13"/>
      <c r="G749" s="13"/>
      <c r="H749" s="13"/>
      <c r="I749" s="13"/>
      <c r="J749" s="96"/>
      <c r="K749" s="125"/>
      <c r="L749" s="810"/>
      <c r="M749" s="86"/>
      <c r="N749" s="114">
        <v>90</v>
      </c>
      <c r="O749" s="68">
        <f>SUM(N749*D749)/1000</f>
        <v>2.7</v>
      </c>
    </row>
    <row r="750" spans="1:15" x14ac:dyDescent="0.25">
      <c r="A750" s="782"/>
      <c r="B750" s="107" t="s">
        <v>120</v>
      </c>
      <c r="C750" s="124"/>
      <c r="D750" s="63">
        <v>32.4</v>
      </c>
      <c r="E750" s="63">
        <v>32.4</v>
      </c>
      <c r="F750" s="63">
        <v>0</v>
      </c>
      <c r="G750" s="63">
        <v>0</v>
      </c>
      <c r="H750" s="63">
        <v>0</v>
      </c>
      <c r="I750" s="63">
        <v>0</v>
      </c>
      <c r="J750" s="96">
        <v>0</v>
      </c>
      <c r="K750" s="125"/>
      <c r="L750" s="810"/>
      <c r="M750" s="86"/>
      <c r="N750" s="87">
        <v>43.22</v>
      </c>
      <c r="O750" s="68">
        <f>SUM(N750*D750)/1000</f>
        <v>1.400328</v>
      </c>
    </row>
    <row r="751" spans="1:15" x14ac:dyDescent="0.25">
      <c r="A751" s="782"/>
      <c r="B751" s="107" t="s">
        <v>185</v>
      </c>
      <c r="C751" s="107"/>
      <c r="D751" s="63">
        <v>0.3</v>
      </c>
      <c r="E751" s="63">
        <v>0.3</v>
      </c>
      <c r="F751" s="63">
        <v>0.06</v>
      </c>
      <c r="G751" s="63">
        <v>0</v>
      </c>
      <c r="H751" s="63">
        <v>2.07E-2</v>
      </c>
      <c r="I751" s="63">
        <v>0.45540000000000003</v>
      </c>
      <c r="J751" s="96">
        <v>0.03</v>
      </c>
      <c r="K751" s="126"/>
      <c r="L751" s="810"/>
      <c r="M751" s="86"/>
      <c r="N751" s="87">
        <v>0</v>
      </c>
      <c r="O751" s="68">
        <f>SUM(N751*D751)/1000</f>
        <v>0</v>
      </c>
    </row>
    <row r="752" spans="1:15" x14ac:dyDescent="0.25">
      <c r="A752" s="782"/>
      <c r="B752" s="107" t="s">
        <v>49</v>
      </c>
      <c r="C752" s="107"/>
      <c r="D752" s="63">
        <v>10</v>
      </c>
      <c r="E752" s="63">
        <v>10</v>
      </c>
      <c r="F752" s="63">
        <v>0</v>
      </c>
      <c r="G752" s="63">
        <v>0</v>
      </c>
      <c r="H752" s="63">
        <v>9.98</v>
      </c>
      <c r="I752" s="63">
        <v>37.9</v>
      </c>
      <c r="J752" s="96">
        <v>0</v>
      </c>
      <c r="K752" s="126"/>
      <c r="L752" s="810"/>
      <c r="M752" s="86"/>
      <c r="N752" s="87">
        <v>50.7</v>
      </c>
      <c r="O752" s="68">
        <f>SUM(N752*D752)/1000</f>
        <v>0.50700000000000001</v>
      </c>
    </row>
    <row r="753" spans="1:15" x14ac:dyDescent="0.25">
      <c r="A753" s="783"/>
      <c r="B753" s="107" t="s">
        <v>19</v>
      </c>
      <c r="C753" s="107"/>
      <c r="D753" s="63">
        <v>150</v>
      </c>
      <c r="E753" s="63">
        <v>150</v>
      </c>
      <c r="F753" s="63">
        <v>0</v>
      </c>
      <c r="G753" s="63">
        <v>0</v>
      </c>
      <c r="H753" s="63">
        <v>0</v>
      </c>
      <c r="I753" s="63">
        <v>0</v>
      </c>
      <c r="J753" s="96">
        <v>0</v>
      </c>
      <c r="K753" s="126"/>
      <c r="L753" s="810"/>
      <c r="M753" s="64"/>
      <c r="N753" s="65"/>
      <c r="O753" s="72">
        <f>SUM(O749:O752)</f>
        <v>4.6073279999999999</v>
      </c>
    </row>
    <row r="754" spans="1:15" hidden="1" x14ac:dyDescent="0.25">
      <c r="A754" s="781" t="s">
        <v>208</v>
      </c>
      <c r="B754" s="398"/>
      <c r="C754" s="124"/>
      <c r="D754" s="100"/>
      <c r="E754" s="63"/>
      <c r="F754" s="267">
        <f>SUM(F749:F753)</f>
        <v>0.06</v>
      </c>
      <c r="G754" s="267">
        <f>SUM(G749:G753)</f>
        <v>0</v>
      </c>
      <c r="H754" s="267">
        <f>SUM(H749:H753)</f>
        <v>10.0007</v>
      </c>
      <c r="I754" s="267">
        <f>SUM(I749:I753)</f>
        <v>38.355399999999996</v>
      </c>
      <c r="J754" s="267">
        <f>SUM(J749:J753)</f>
        <v>0.03</v>
      </c>
      <c r="K754" s="491"/>
      <c r="L754" s="810"/>
      <c r="M754" s="83"/>
      <c r="N754" s="65"/>
      <c r="O754" s="67"/>
    </row>
    <row r="755" spans="1:15" x14ac:dyDescent="0.25">
      <c r="A755" s="782"/>
      <c r="B755" s="138" t="s">
        <v>206</v>
      </c>
      <c r="C755" s="306">
        <v>100</v>
      </c>
      <c r="D755" s="100">
        <v>100</v>
      </c>
      <c r="E755" s="100">
        <v>100</v>
      </c>
      <c r="F755" s="148">
        <v>0.5</v>
      </c>
      <c r="G755" s="148">
        <v>0</v>
      </c>
      <c r="H755" s="148">
        <v>12.2</v>
      </c>
      <c r="I755" s="148">
        <v>50.8</v>
      </c>
      <c r="J755" s="149">
        <v>10</v>
      </c>
      <c r="K755" s="313" t="s">
        <v>207</v>
      </c>
      <c r="L755" s="810"/>
      <c r="M755" s="316">
        <v>100</v>
      </c>
      <c r="N755" s="79">
        <v>55.58</v>
      </c>
      <c r="O755" s="335">
        <f>SUM(D755*N755)/1000</f>
        <v>5.5579999999999998</v>
      </c>
    </row>
    <row r="756" spans="1:15" x14ac:dyDescent="0.25">
      <c r="A756" s="783"/>
      <c r="B756" s="138" t="s">
        <v>57</v>
      </c>
      <c r="C756" s="150"/>
      <c r="D756" s="63"/>
      <c r="E756" s="13"/>
      <c r="F756" s="307">
        <f>SUM(F738+F745+F748+F755)</f>
        <v>8.6541000000000015</v>
      </c>
      <c r="G756" s="307">
        <f t="shared" ref="G756:J756" si="69">SUM(G738+G745+G748+G755)</f>
        <v>11.491400000000001</v>
      </c>
      <c r="H756" s="307">
        <f t="shared" si="69"/>
        <v>76.74560000000001</v>
      </c>
      <c r="I756" s="307">
        <f t="shared" si="69"/>
        <v>442.68139999999994</v>
      </c>
      <c r="J756" s="307">
        <f t="shared" si="69"/>
        <v>11.2676</v>
      </c>
      <c r="K756" s="245"/>
      <c r="L756" s="811"/>
      <c r="M756" s="148">
        <f>SUM(M745:M755)</f>
        <v>280</v>
      </c>
      <c r="N756" s="246"/>
      <c r="O756" s="247" t="e">
        <f>SUM(O745:O745,O753:O755)</f>
        <v>#REF!</v>
      </c>
    </row>
    <row r="757" spans="1:15" x14ac:dyDescent="0.25">
      <c r="A757" s="5" t="s">
        <v>166</v>
      </c>
      <c r="B757" s="13"/>
      <c r="C757" s="4"/>
      <c r="D757" s="166"/>
      <c r="E757" s="167"/>
      <c r="F757" s="51"/>
      <c r="G757" s="51"/>
      <c r="H757" s="51"/>
      <c r="I757" s="51"/>
      <c r="J757" s="53"/>
      <c r="K757" s="126"/>
      <c r="L757" s="464"/>
      <c r="M757" s="64"/>
      <c r="N757" s="65"/>
      <c r="O757" s="64"/>
    </row>
    <row r="758" spans="1:15" ht="45" x14ac:dyDescent="0.25">
      <c r="A758" s="795"/>
      <c r="B758" s="436" t="s">
        <v>156</v>
      </c>
      <c r="C758" s="140">
        <v>200</v>
      </c>
      <c r="D758" s="154"/>
      <c r="E758" s="154"/>
      <c r="F758" s="63"/>
      <c r="G758" s="63"/>
      <c r="H758" s="63"/>
      <c r="I758" s="63"/>
      <c r="J758" s="96"/>
      <c r="K758" s="125" t="s">
        <v>157</v>
      </c>
      <c r="L758" s="798" t="s">
        <v>29</v>
      </c>
      <c r="M758" s="64">
        <v>200</v>
      </c>
      <c r="N758" s="65"/>
      <c r="O758" s="64"/>
    </row>
    <row r="759" spans="1:15" x14ac:dyDescent="0.25">
      <c r="A759" s="796"/>
      <c r="B759" s="96" t="s">
        <v>158</v>
      </c>
      <c r="C759" s="96"/>
      <c r="D759" s="63">
        <v>34</v>
      </c>
      <c r="E759" s="63">
        <v>27.3</v>
      </c>
      <c r="F759" s="102">
        <v>0.48</v>
      </c>
      <c r="G759" s="63">
        <v>3.2000000000000001E-2</v>
      </c>
      <c r="H759" s="63">
        <v>2.8159999999999998</v>
      </c>
      <c r="I759" s="63">
        <v>13.44</v>
      </c>
      <c r="J759" s="96">
        <v>3.2</v>
      </c>
      <c r="K759" s="126"/>
      <c r="L759" s="799"/>
      <c r="M759" s="64"/>
      <c r="N759" s="114">
        <v>25.38</v>
      </c>
      <c r="O759" s="68">
        <f t="shared" ref="O759:O769" si="70">SUM(N759*D759)/1000</f>
        <v>0.86291999999999991</v>
      </c>
    </row>
    <row r="760" spans="1:15" x14ac:dyDescent="0.25">
      <c r="A760" s="796"/>
      <c r="B760" s="96" t="s">
        <v>159</v>
      </c>
      <c r="C760" s="96"/>
      <c r="D760" s="63">
        <v>17.3</v>
      </c>
      <c r="E760" s="63">
        <v>14</v>
      </c>
      <c r="F760" s="59">
        <v>0.28799999999999998</v>
      </c>
      <c r="G760" s="51">
        <v>1.6E-2</v>
      </c>
      <c r="H760" s="51">
        <v>0.752</v>
      </c>
      <c r="I760" s="51">
        <v>4.4800000000000004</v>
      </c>
      <c r="J760" s="53">
        <v>7.2</v>
      </c>
      <c r="K760" s="126"/>
      <c r="L760" s="799"/>
      <c r="M760" s="64"/>
      <c r="N760" s="114">
        <v>21.89</v>
      </c>
      <c r="O760" s="68">
        <f t="shared" si="70"/>
        <v>0.37869700000000001</v>
      </c>
    </row>
    <row r="761" spans="1:15" x14ac:dyDescent="0.25">
      <c r="A761" s="796"/>
      <c r="B761" s="96" t="s">
        <v>36</v>
      </c>
      <c r="C761" s="96"/>
      <c r="D761" s="63">
        <v>31.3</v>
      </c>
      <c r="E761" s="63">
        <v>23.3</v>
      </c>
      <c r="F761" s="102">
        <v>0.31</v>
      </c>
      <c r="G761" s="63">
        <v>6.4000000000000001E-2</v>
      </c>
      <c r="H761" s="63">
        <v>2.6080000000000001</v>
      </c>
      <c r="I761" s="63">
        <v>12.32</v>
      </c>
      <c r="J761" s="96">
        <v>3.2</v>
      </c>
      <c r="K761" s="126"/>
      <c r="L761" s="799"/>
      <c r="M761" s="64"/>
      <c r="N761" s="114">
        <v>21.98</v>
      </c>
      <c r="O761" s="68">
        <f t="shared" si="70"/>
        <v>0.68797400000000009</v>
      </c>
    </row>
    <row r="762" spans="1:15" x14ac:dyDescent="0.25">
      <c r="A762" s="796"/>
      <c r="B762" s="96" t="s">
        <v>59</v>
      </c>
      <c r="C762" s="96"/>
      <c r="D762" s="63">
        <v>13.3</v>
      </c>
      <c r="E762" s="63">
        <v>10</v>
      </c>
      <c r="F762" s="63">
        <v>0.104</v>
      </c>
      <c r="G762" s="63">
        <v>8.0000000000000002E-3</v>
      </c>
      <c r="H762" s="63">
        <v>0.55200000000000005</v>
      </c>
      <c r="I762" s="63">
        <v>2.8</v>
      </c>
      <c r="J762" s="96">
        <v>0.4</v>
      </c>
      <c r="K762" s="126"/>
      <c r="L762" s="799"/>
      <c r="M762" s="64"/>
      <c r="N762" s="114">
        <v>38.5</v>
      </c>
      <c r="O762" s="68">
        <f t="shared" si="70"/>
        <v>0.51205000000000012</v>
      </c>
    </row>
    <row r="763" spans="1:15" x14ac:dyDescent="0.25">
      <c r="A763" s="796"/>
      <c r="B763" s="96" t="s">
        <v>32</v>
      </c>
      <c r="C763" s="96"/>
      <c r="D763" s="63">
        <v>10</v>
      </c>
      <c r="E763" s="63">
        <v>8</v>
      </c>
      <c r="F763" s="63">
        <v>0.112</v>
      </c>
      <c r="G763" s="63">
        <v>1.6E-2</v>
      </c>
      <c r="H763" s="63">
        <v>0.65600000000000003</v>
      </c>
      <c r="I763" s="63">
        <v>0.28000000000000003</v>
      </c>
      <c r="J763" s="96">
        <v>0.8</v>
      </c>
      <c r="K763" s="126"/>
      <c r="L763" s="799"/>
      <c r="M763" s="64"/>
      <c r="N763" s="114">
        <v>120</v>
      </c>
      <c r="O763" s="68">
        <f t="shared" si="70"/>
        <v>1.2</v>
      </c>
    </row>
    <row r="764" spans="1:15" x14ac:dyDescent="0.25">
      <c r="A764" s="796"/>
      <c r="B764" s="96" t="s">
        <v>60</v>
      </c>
      <c r="C764" s="96"/>
      <c r="D764" s="63">
        <v>2.7</v>
      </c>
      <c r="E764" s="63">
        <v>2.7</v>
      </c>
      <c r="F764" s="102">
        <v>0.28799999999999998</v>
      </c>
      <c r="G764" s="63">
        <v>0</v>
      </c>
      <c r="H764" s="63">
        <v>1.1399999999999999</v>
      </c>
      <c r="I764" s="63">
        <v>6.12</v>
      </c>
      <c r="J764" s="96">
        <v>2.7</v>
      </c>
      <c r="K764" s="126"/>
      <c r="L764" s="799"/>
      <c r="M764" s="64"/>
      <c r="N764" s="114">
        <v>92.2</v>
      </c>
      <c r="O764" s="68">
        <f t="shared" si="70"/>
        <v>0.24894000000000002</v>
      </c>
    </row>
    <row r="765" spans="1:15" x14ac:dyDescent="0.25">
      <c r="A765" s="796"/>
      <c r="B765" s="96" t="s">
        <v>37</v>
      </c>
      <c r="C765" s="96"/>
      <c r="D765" s="63">
        <v>4</v>
      </c>
      <c r="E765" s="63">
        <v>4</v>
      </c>
      <c r="F765" s="102">
        <v>0</v>
      </c>
      <c r="G765" s="63">
        <v>3.996</v>
      </c>
      <c r="H765" s="63">
        <v>0</v>
      </c>
      <c r="I765" s="63">
        <v>35.96</v>
      </c>
      <c r="J765" s="96">
        <v>0</v>
      </c>
      <c r="K765" s="126"/>
      <c r="L765" s="799"/>
      <c r="M765" s="64"/>
      <c r="N765" s="114">
        <v>50.7</v>
      </c>
      <c r="O765" s="68">
        <f t="shared" si="70"/>
        <v>0.20280000000000001</v>
      </c>
    </row>
    <row r="766" spans="1:15" x14ac:dyDescent="0.25">
      <c r="A766" s="796"/>
      <c r="B766" s="96" t="s">
        <v>49</v>
      </c>
      <c r="C766" s="96"/>
      <c r="D766" s="63">
        <v>2</v>
      </c>
      <c r="E766" s="63">
        <v>2</v>
      </c>
      <c r="F766" s="102">
        <v>0</v>
      </c>
      <c r="G766" s="63">
        <v>0</v>
      </c>
      <c r="H766" s="63">
        <v>1.996</v>
      </c>
      <c r="I766" s="63">
        <v>7.58</v>
      </c>
      <c r="J766" s="96">
        <v>0</v>
      </c>
      <c r="K766" s="126"/>
      <c r="L766" s="799"/>
      <c r="M766" s="64"/>
      <c r="N766" s="114">
        <v>16.62</v>
      </c>
      <c r="O766" s="68">
        <f t="shared" si="70"/>
        <v>3.3239999999999999E-2</v>
      </c>
    </row>
    <row r="767" spans="1:15" x14ac:dyDescent="0.25">
      <c r="A767" s="796"/>
      <c r="B767" s="96" t="s">
        <v>19</v>
      </c>
      <c r="C767" s="96"/>
      <c r="D767" s="63">
        <v>160</v>
      </c>
      <c r="E767" s="63">
        <v>160</v>
      </c>
      <c r="F767" s="102">
        <v>0</v>
      </c>
      <c r="G767" s="63">
        <v>0</v>
      </c>
      <c r="H767" s="63">
        <v>0</v>
      </c>
      <c r="I767" s="63">
        <v>0</v>
      </c>
      <c r="J767" s="96">
        <v>0</v>
      </c>
      <c r="K767" s="126"/>
      <c r="L767" s="799"/>
      <c r="M767" s="64"/>
      <c r="N767" s="114">
        <v>550</v>
      </c>
      <c r="O767" s="68">
        <f t="shared" si="70"/>
        <v>88</v>
      </c>
    </row>
    <row r="768" spans="1:15" x14ac:dyDescent="0.25">
      <c r="A768" s="796"/>
      <c r="B768" s="96" t="s">
        <v>61</v>
      </c>
      <c r="C768" s="96"/>
      <c r="D768" s="63">
        <v>7.0000000000000001E-3</v>
      </c>
      <c r="E768" s="63">
        <v>7.0000000000000001E-3</v>
      </c>
      <c r="F768" s="102">
        <v>0</v>
      </c>
      <c r="G768" s="63">
        <v>0</v>
      </c>
      <c r="H768" s="63">
        <v>0</v>
      </c>
      <c r="I768" s="63">
        <v>0</v>
      </c>
      <c r="J768" s="96">
        <v>0</v>
      </c>
      <c r="K768" s="126"/>
      <c r="L768" s="799"/>
      <c r="M768" s="64"/>
      <c r="N768" s="114">
        <v>153</v>
      </c>
      <c r="O768" s="68">
        <f t="shared" si="70"/>
        <v>1.0709999999999999E-3</v>
      </c>
    </row>
    <row r="769" spans="1:15" x14ac:dyDescent="0.25">
      <c r="A769" s="796"/>
      <c r="B769" s="96" t="s">
        <v>112</v>
      </c>
      <c r="C769" s="96"/>
      <c r="D769" s="63">
        <v>1.2</v>
      </c>
      <c r="E769" s="63">
        <v>1.2</v>
      </c>
      <c r="F769" s="102">
        <v>0</v>
      </c>
      <c r="G769" s="63">
        <v>0</v>
      </c>
      <c r="H769" s="63">
        <v>0</v>
      </c>
      <c r="I769" s="63">
        <v>0</v>
      </c>
      <c r="J769" s="96">
        <v>0</v>
      </c>
      <c r="K769" s="126"/>
      <c r="L769" s="799"/>
      <c r="M769" s="64"/>
      <c r="N769" s="114">
        <v>0</v>
      </c>
      <c r="O769" s="68">
        <f t="shared" si="70"/>
        <v>0</v>
      </c>
    </row>
    <row r="770" spans="1:15" x14ac:dyDescent="0.25">
      <c r="A770" s="796"/>
      <c r="B770" s="96" t="s">
        <v>62</v>
      </c>
      <c r="C770" s="96"/>
      <c r="D770" s="63">
        <v>4</v>
      </c>
      <c r="E770" s="63">
        <v>4</v>
      </c>
      <c r="F770" s="63">
        <v>0.1</v>
      </c>
      <c r="G770" s="63">
        <v>0.6</v>
      </c>
      <c r="H770" s="63">
        <v>0.13600000000000001</v>
      </c>
      <c r="I770" s="63">
        <v>8.24</v>
      </c>
      <c r="J770" s="96">
        <v>1.2E-2</v>
      </c>
      <c r="K770" s="126"/>
      <c r="L770" s="799"/>
      <c r="M770" s="64"/>
      <c r="N770" s="114"/>
      <c r="O770" s="68"/>
    </row>
    <row r="771" spans="1:15" x14ac:dyDescent="0.25">
      <c r="A771" s="796"/>
      <c r="B771" s="248"/>
      <c r="C771" s="248"/>
      <c r="D771" s="63"/>
      <c r="E771" s="63"/>
      <c r="F771" s="192">
        <f>SUM(F759:F770)</f>
        <v>1.6820000000000004</v>
      </c>
      <c r="G771" s="192">
        <f>SUM(G759:G770)</f>
        <v>4.7319999999999993</v>
      </c>
      <c r="H771" s="192">
        <f>SUM(H759:H770)</f>
        <v>10.655999999999999</v>
      </c>
      <c r="I771" s="192">
        <f>SUM(I759:I770)</f>
        <v>91.22</v>
      </c>
      <c r="J771" s="193">
        <f>SUM(J759:J770)</f>
        <v>17.512000000000004</v>
      </c>
      <c r="K771" s="156"/>
      <c r="L771" s="799"/>
      <c r="M771" s="64"/>
      <c r="N771" s="114"/>
      <c r="O771" s="68"/>
    </row>
    <row r="772" spans="1:15" ht="20.25" customHeight="1" x14ac:dyDescent="0.25">
      <c r="A772" s="796"/>
      <c r="B772" s="454" t="s">
        <v>331</v>
      </c>
      <c r="C772" s="124" t="s">
        <v>333</v>
      </c>
      <c r="D772" s="13"/>
      <c r="E772" s="13"/>
      <c r="F772" s="63"/>
      <c r="G772" s="63"/>
      <c r="H772" s="63"/>
      <c r="I772" s="63"/>
      <c r="J772" s="96"/>
      <c r="K772" s="125" t="s">
        <v>332</v>
      </c>
      <c r="L772" s="799"/>
      <c r="M772" s="64">
        <v>190</v>
      </c>
      <c r="N772" s="65"/>
      <c r="O772" s="64"/>
    </row>
    <row r="773" spans="1:15" x14ac:dyDescent="0.25">
      <c r="A773" s="796"/>
      <c r="B773" s="107" t="s">
        <v>274</v>
      </c>
      <c r="C773" s="107"/>
      <c r="D773" s="141">
        <v>130</v>
      </c>
      <c r="E773" s="141">
        <v>57</v>
      </c>
      <c r="F773" s="63">
        <v>10.66</v>
      </c>
      <c r="G773" s="63">
        <v>9.18</v>
      </c>
      <c r="H773" s="63">
        <v>0</v>
      </c>
      <c r="I773" s="63">
        <v>125.4</v>
      </c>
      <c r="J773" s="96">
        <v>1.1399999999999999</v>
      </c>
      <c r="K773" s="126"/>
      <c r="L773" s="799"/>
      <c r="M773" s="64"/>
      <c r="N773" s="114">
        <v>222.66</v>
      </c>
      <c r="O773" s="68">
        <f t="shared" ref="O773:O788" si="71">SUM(N773*D773)/1000</f>
        <v>28.945799999999998</v>
      </c>
    </row>
    <row r="774" spans="1:15" x14ac:dyDescent="0.25">
      <c r="A774" s="796"/>
      <c r="B774" s="107" t="s">
        <v>18</v>
      </c>
      <c r="C774" s="96"/>
      <c r="D774" s="270">
        <v>5</v>
      </c>
      <c r="E774" s="270">
        <v>5</v>
      </c>
      <c r="F774" s="102">
        <v>0.35</v>
      </c>
      <c r="G774" s="63">
        <v>0.05</v>
      </c>
      <c r="H774" s="63">
        <v>3.57</v>
      </c>
      <c r="I774" s="63">
        <v>16.5</v>
      </c>
      <c r="J774" s="96">
        <v>0</v>
      </c>
      <c r="K774" s="152"/>
      <c r="L774" s="799"/>
      <c r="M774" s="64"/>
      <c r="N774" s="114">
        <v>376.98</v>
      </c>
      <c r="O774" s="68">
        <f t="shared" si="71"/>
        <v>1.8849</v>
      </c>
    </row>
    <row r="775" spans="1:15" ht="30" x14ac:dyDescent="0.25">
      <c r="A775" s="796"/>
      <c r="B775" s="116" t="s">
        <v>334</v>
      </c>
      <c r="C775" s="201"/>
      <c r="D775" s="329"/>
      <c r="E775" s="329">
        <v>22.5</v>
      </c>
      <c r="F775" s="102"/>
      <c r="G775" s="63"/>
      <c r="H775" s="63"/>
      <c r="I775" s="63"/>
      <c r="J775" s="96"/>
      <c r="K775" s="152"/>
      <c r="L775" s="799"/>
      <c r="M775" s="64"/>
      <c r="N775" s="114">
        <v>0</v>
      </c>
      <c r="O775" s="68">
        <f t="shared" si="71"/>
        <v>0</v>
      </c>
    </row>
    <row r="776" spans="1:15" x14ac:dyDescent="0.25">
      <c r="A776" s="796"/>
      <c r="B776" s="107" t="s">
        <v>141</v>
      </c>
      <c r="C776" s="96"/>
      <c r="D776" s="270">
        <v>6</v>
      </c>
      <c r="E776" s="270">
        <v>6</v>
      </c>
      <c r="F776" s="102">
        <v>0.16800000000000001</v>
      </c>
      <c r="G776" s="63">
        <v>0.192</v>
      </c>
      <c r="H776" s="63">
        <v>0.28199999999999997</v>
      </c>
      <c r="I776" s="63">
        <v>3.48</v>
      </c>
      <c r="J776" s="96">
        <v>7.0000000000000007E-2</v>
      </c>
      <c r="K776" s="152"/>
      <c r="L776" s="799"/>
      <c r="M776" s="64"/>
      <c r="N776" s="114"/>
      <c r="O776" s="68"/>
    </row>
    <row r="777" spans="1:15" x14ac:dyDescent="0.25">
      <c r="A777" s="796"/>
      <c r="B777" s="107" t="s">
        <v>21</v>
      </c>
      <c r="C777" s="96"/>
      <c r="D777" s="270">
        <v>2</v>
      </c>
      <c r="E777" s="270">
        <v>2</v>
      </c>
      <c r="F777" s="102">
        <v>1.6E-2</v>
      </c>
      <c r="G777" s="63">
        <v>1.45</v>
      </c>
      <c r="H777" s="63">
        <v>2.5999999999999999E-2</v>
      </c>
      <c r="I777" s="63">
        <v>13.22</v>
      </c>
      <c r="J777" s="96">
        <v>0</v>
      </c>
      <c r="K777" s="152"/>
      <c r="L777" s="799"/>
      <c r="M777" s="64"/>
      <c r="N777" s="114"/>
      <c r="O777" s="68"/>
    </row>
    <row r="778" spans="1:15" x14ac:dyDescent="0.25">
      <c r="A778" s="796"/>
      <c r="B778" s="107" t="s">
        <v>112</v>
      </c>
      <c r="C778" s="96"/>
      <c r="D778" s="270">
        <v>0.6</v>
      </c>
      <c r="E778" s="270">
        <v>0.6</v>
      </c>
      <c r="F778" s="102"/>
      <c r="G778" s="63"/>
      <c r="H778" s="63"/>
      <c r="I778" s="63"/>
      <c r="J778" s="96"/>
      <c r="K778" s="152"/>
      <c r="L778" s="799"/>
      <c r="M778" s="64"/>
      <c r="N778" s="114"/>
      <c r="O778" s="68"/>
    </row>
    <row r="779" spans="1:15" x14ac:dyDescent="0.25">
      <c r="A779" s="796"/>
      <c r="B779" s="107" t="s">
        <v>189</v>
      </c>
      <c r="C779" s="96"/>
      <c r="D779" s="270"/>
      <c r="E779" s="270">
        <v>80</v>
      </c>
      <c r="F779" s="102"/>
      <c r="G779" s="63"/>
      <c r="H779" s="63"/>
      <c r="I779" s="63"/>
      <c r="J779" s="96"/>
      <c r="K779" s="152"/>
      <c r="L779" s="799"/>
      <c r="M779" s="64"/>
      <c r="N779" s="114"/>
      <c r="O779" s="68"/>
    </row>
    <row r="780" spans="1:15" x14ac:dyDescent="0.25">
      <c r="A780" s="796"/>
      <c r="B780" s="107" t="s">
        <v>335</v>
      </c>
      <c r="C780" s="96"/>
      <c r="D780" s="270">
        <v>5</v>
      </c>
      <c r="E780" s="270">
        <v>5</v>
      </c>
      <c r="F780" s="102">
        <v>0.04</v>
      </c>
      <c r="G780" s="63">
        <v>3.63</v>
      </c>
      <c r="H780" s="63">
        <v>6.5000000000000002E-2</v>
      </c>
      <c r="I780" s="63">
        <v>33.049999999999997</v>
      </c>
      <c r="J780" s="96">
        <v>0</v>
      </c>
      <c r="K780" s="152"/>
      <c r="L780" s="799"/>
      <c r="M780" s="64"/>
      <c r="N780" s="114"/>
      <c r="O780" s="68"/>
    </row>
    <row r="781" spans="1:15" ht="30" x14ac:dyDescent="0.25">
      <c r="A781" s="796"/>
      <c r="B781" s="435" t="s">
        <v>327</v>
      </c>
      <c r="C781" s="96"/>
      <c r="D781" s="451">
        <v>50</v>
      </c>
      <c r="E781" s="451">
        <v>50</v>
      </c>
      <c r="F781" s="449">
        <v>3.06</v>
      </c>
      <c r="G781" s="289">
        <v>0.61199999999999999</v>
      </c>
      <c r="H781" s="289">
        <v>24.939</v>
      </c>
      <c r="I781" s="289">
        <v>117.81</v>
      </c>
      <c r="J781" s="450">
        <v>30.6</v>
      </c>
      <c r="K781" s="155" t="s">
        <v>328</v>
      </c>
      <c r="L781" s="799"/>
      <c r="M781" s="64"/>
      <c r="N781" s="114">
        <v>21.89</v>
      </c>
      <c r="O781" s="68">
        <f t="shared" si="71"/>
        <v>1.0945</v>
      </c>
    </row>
    <row r="782" spans="1:15" x14ac:dyDescent="0.25">
      <c r="A782" s="796"/>
      <c r="B782" s="107" t="s">
        <v>32</v>
      </c>
      <c r="C782" s="107"/>
      <c r="D782" s="100">
        <v>12</v>
      </c>
      <c r="E782" s="100">
        <v>10</v>
      </c>
      <c r="F782" s="102">
        <v>0.154</v>
      </c>
      <c r="G782" s="63">
        <v>2.1999999999999999E-2</v>
      </c>
      <c r="H782" s="63">
        <v>0.90200000000000002</v>
      </c>
      <c r="I782" s="63">
        <v>4.51</v>
      </c>
      <c r="J782" s="96">
        <v>1.1000000000000001</v>
      </c>
      <c r="K782" s="152"/>
      <c r="L782" s="799"/>
      <c r="M782" s="64"/>
      <c r="N782" s="114">
        <v>21.98</v>
      </c>
      <c r="O782" s="68">
        <f t="shared" si="71"/>
        <v>0.26375999999999999</v>
      </c>
    </row>
    <row r="783" spans="1:15" x14ac:dyDescent="0.25">
      <c r="A783" s="796"/>
      <c r="B783" s="107" t="s">
        <v>21</v>
      </c>
      <c r="C783" s="107"/>
      <c r="D783" s="100">
        <v>1</v>
      </c>
      <c r="E783" s="100">
        <v>1</v>
      </c>
      <c r="F783" s="102">
        <v>1.6E-2</v>
      </c>
      <c r="G783" s="63">
        <v>1.45</v>
      </c>
      <c r="H783" s="63">
        <v>2.5999999999999999E-2</v>
      </c>
      <c r="I783" s="63">
        <v>13.22</v>
      </c>
      <c r="J783" s="96">
        <v>0</v>
      </c>
      <c r="K783" s="152"/>
      <c r="L783" s="799"/>
      <c r="M783" s="64"/>
      <c r="N783" s="114">
        <v>376.98</v>
      </c>
      <c r="O783" s="68">
        <f t="shared" si="71"/>
        <v>0.37698000000000004</v>
      </c>
    </row>
    <row r="784" spans="1:15" x14ac:dyDescent="0.25">
      <c r="A784" s="796"/>
      <c r="B784" s="116" t="s">
        <v>329</v>
      </c>
      <c r="C784" s="116"/>
      <c r="D784" s="330"/>
      <c r="E784" s="330">
        <v>46</v>
      </c>
      <c r="F784" s="102"/>
      <c r="G784" s="63"/>
      <c r="H784" s="63"/>
      <c r="I784" s="63"/>
      <c r="J784" s="96"/>
      <c r="K784" s="155" t="s">
        <v>328</v>
      </c>
      <c r="L784" s="799"/>
      <c r="M784" s="64"/>
      <c r="N784" s="114">
        <v>0</v>
      </c>
      <c r="O784" s="68">
        <f t="shared" si="71"/>
        <v>0</v>
      </c>
    </row>
    <row r="785" spans="1:15" x14ac:dyDescent="0.25">
      <c r="A785" s="796"/>
      <c r="B785" s="107" t="s">
        <v>152</v>
      </c>
      <c r="C785" s="107"/>
      <c r="D785" s="100">
        <v>11.5</v>
      </c>
      <c r="E785" s="100">
        <v>11.5</v>
      </c>
      <c r="F785" s="102">
        <v>1.6E-2</v>
      </c>
      <c r="G785" s="63">
        <v>1.45</v>
      </c>
      <c r="H785" s="63">
        <v>2.5999999999999999E-2</v>
      </c>
      <c r="I785" s="63">
        <v>13.22</v>
      </c>
      <c r="J785" s="96">
        <v>0</v>
      </c>
      <c r="K785" s="152"/>
      <c r="L785" s="799"/>
      <c r="M785" s="64"/>
      <c r="N785" s="114">
        <v>376.98</v>
      </c>
      <c r="O785" s="68">
        <f t="shared" si="71"/>
        <v>4.3352700000000004</v>
      </c>
    </row>
    <row r="786" spans="1:15" x14ac:dyDescent="0.25">
      <c r="A786" s="796"/>
      <c r="B786" s="107" t="s">
        <v>112</v>
      </c>
      <c r="C786" s="107"/>
      <c r="D786" s="100">
        <v>0.4</v>
      </c>
      <c r="E786" s="100">
        <v>0.4</v>
      </c>
      <c r="F786" s="102">
        <v>0</v>
      </c>
      <c r="G786" s="63">
        <v>0</v>
      </c>
      <c r="H786" s="63">
        <v>0</v>
      </c>
      <c r="I786" s="63">
        <v>0</v>
      </c>
      <c r="J786" s="96">
        <v>0</v>
      </c>
      <c r="K786" s="152"/>
      <c r="L786" s="799"/>
      <c r="M786" s="64"/>
      <c r="N786" s="114">
        <v>16.62</v>
      </c>
      <c r="O786" s="68">
        <f t="shared" si="71"/>
        <v>6.6480000000000003E-3</v>
      </c>
    </row>
    <row r="787" spans="1:15" x14ac:dyDescent="0.25">
      <c r="A787" s="796"/>
      <c r="B787" s="107" t="s">
        <v>33</v>
      </c>
      <c r="C787" s="194"/>
      <c r="D787" s="63">
        <v>3.5</v>
      </c>
      <c r="E787" s="195">
        <v>3.5</v>
      </c>
      <c r="F787" s="285">
        <v>0.23100000000000001</v>
      </c>
      <c r="G787" s="286">
        <v>2.4E-2</v>
      </c>
      <c r="H787" s="286">
        <v>1.552</v>
      </c>
      <c r="I787" s="286">
        <v>7.5149999999999997</v>
      </c>
      <c r="J787" s="269">
        <v>0</v>
      </c>
      <c r="K787" s="152"/>
      <c r="L787" s="799"/>
      <c r="M787" s="64"/>
      <c r="N787" s="114"/>
      <c r="O787" s="68"/>
    </row>
    <row r="788" spans="1:15" x14ac:dyDescent="0.25">
      <c r="A788" s="796"/>
      <c r="B788" s="107" t="s">
        <v>120</v>
      </c>
      <c r="C788" s="107"/>
      <c r="D788" s="100">
        <v>34.5</v>
      </c>
      <c r="E788" s="100">
        <v>34.5</v>
      </c>
      <c r="F788" s="102">
        <v>0</v>
      </c>
      <c r="G788" s="63">
        <v>0</v>
      </c>
      <c r="H788" s="63">
        <v>0</v>
      </c>
      <c r="I788" s="63">
        <v>0</v>
      </c>
      <c r="J788" s="96">
        <v>0</v>
      </c>
      <c r="K788" s="152"/>
      <c r="L788" s="799"/>
      <c r="M788" s="64"/>
      <c r="N788" s="114">
        <v>60.5</v>
      </c>
      <c r="O788" s="68">
        <f t="shared" si="71"/>
        <v>2.08725</v>
      </c>
    </row>
    <row r="789" spans="1:15" ht="30" x14ac:dyDescent="0.25">
      <c r="A789" s="796"/>
      <c r="B789" s="435" t="s">
        <v>143</v>
      </c>
      <c r="C789" s="124">
        <v>120</v>
      </c>
      <c r="D789" s="13"/>
      <c r="E789" s="13"/>
      <c r="F789" s="63"/>
      <c r="G789" s="63"/>
      <c r="H789" s="63"/>
      <c r="I789" s="63"/>
      <c r="J789" s="96"/>
      <c r="K789" s="125" t="s">
        <v>312</v>
      </c>
      <c r="L789" s="799"/>
      <c r="M789" s="64">
        <v>155</v>
      </c>
      <c r="N789" s="65"/>
      <c r="O789" s="64"/>
    </row>
    <row r="790" spans="1:15" x14ac:dyDescent="0.25">
      <c r="A790" s="796"/>
      <c r="B790" s="96" t="s">
        <v>144</v>
      </c>
      <c r="C790" s="96"/>
      <c r="D790" s="63">
        <v>40</v>
      </c>
      <c r="E790" s="63">
        <v>40</v>
      </c>
      <c r="F790" s="102">
        <v>7.28</v>
      </c>
      <c r="G790" s="63">
        <v>0.77</v>
      </c>
      <c r="H790" s="63">
        <v>48.79</v>
      </c>
      <c r="I790" s="63">
        <v>235.9</v>
      </c>
      <c r="J790" s="96">
        <v>0</v>
      </c>
      <c r="K790" s="125"/>
      <c r="L790" s="799"/>
      <c r="M790" s="64"/>
      <c r="N790" s="114">
        <v>46.18</v>
      </c>
      <c r="O790" s="68">
        <f>SUM(N790*D790)/1000</f>
        <v>1.8472</v>
      </c>
    </row>
    <row r="791" spans="1:15" x14ac:dyDescent="0.25">
      <c r="A791" s="796"/>
      <c r="B791" s="96" t="s">
        <v>112</v>
      </c>
      <c r="C791" s="96"/>
      <c r="D791" s="63">
        <v>2</v>
      </c>
      <c r="E791" s="63">
        <v>2</v>
      </c>
      <c r="F791" s="102">
        <v>0</v>
      </c>
      <c r="G791" s="63">
        <v>0</v>
      </c>
      <c r="H791" s="63">
        <v>0</v>
      </c>
      <c r="I791" s="63">
        <v>0</v>
      </c>
      <c r="J791" s="96">
        <v>0</v>
      </c>
      <c r="K791" s="125"/>
      <c r="L791" s="799"/>
      <c r="M791" s="64"/>
      <c r="N791" s="114">
        <v>16.62</v>
      </c>
      <c r="O791" s="68">
        <f>SUM(N791*D791)/1000</f>
        <v>3.3239999999999999E-2</v>
      </c>
    </row>
    <row r="792" spans="1:15" ht="30" x14ac:dyDescent="0.25">
      <c r="A792" s="796"/>
      <c r="B792" s="116" t="s">
        <v>121</v>
      </c>
      <c r="C792" s="107"/>
      <c r="D792" s="141" t="s">
        <v>35</v>
      </c>
      <c r="E792" s="141">
        <v>114.5</v>
      </c>
      <c r="F792" s="63">
        <v>0</v>
      </c>
      <c r="G792" s="63">
        <v>0</v>
      </c>
      <c r="H792" s="102">
        <v>0</v>
      </c>
      <c r="I792" s="63">
        <v>0</v>
      </c>
      <c r="J792" s="96">
        <v>0</v>
      </c>
      <c r="K792" s="125"/>
      <c r="L792" s="799"/>
      <c r="M792" s="64"/>
      <c r="N792" s="114"/>
      <c r="O792" s="68"/>
    </row>
    <row r="793" spans="1:15" x14ac:dyDescent="0.25">
      <c r="A793" s="796"/>
      <c r="B793" s="101" t="s">
        <v>21</v>
      </c>
      <c r="C793" s="107"/>
      <c r="D793" s="63">
        <v>5</v>
      </c>
      <c r="E793" s="63">
        <v>5</v>
      </c>
      <c r="F793" s="99">
        <v>0.04</v>
      </c>
      <c r="G793" s="100">
        <v>3.625</v>
      </c>
      <c r="H793" s="63">
        <v>6.5000000000000002E-2</v>
      </c>
      <c r="I793" s="63">
        <v>33.049999999999997</v>
      </c>
      <c r="J793" s="96">
        <v>0</v>
      </c>
      <c r="K793" s="126"/>
      <c r="L793" s="799"/>
      <c r="M793" s="64"/>
      <c r="N793" s="114">
        <v>376.98</v>
      </c>
      <c r="O793" s="68">
        <f>SUM(N793*D793)/1000</f>
        <v>1.8849</v>
      </c>
    </row>
    <row r="794" spans="1:15" x14ac:dyDescent="0.25">
      <c r="A794" s="796"/>
      <c r="B794" s="116"/>
      <c r="C794" s="107"/>
      <c r="D794" s="63"/>
      <c r="E794" s="63"/>
      <c r="F794" s="118">
        <f>SUM(F790:F793)</f>
        <v>7.32</v>
      </c>
      <c r="G794" s="118">
        <f>SUM(G790:G793)</f>
        <v>4.3949999999999996</v>
      </c>
      <c r="H794" s="118">
        <f>SUM(H790:H793)</f>
        <v>48.854999999999997</v>
      </c>
      <c r="I794" s="118">
        <f>SUM(I790:I793)</f>
        <v>268.95</v>
      </c>
      <c r="J794" s="119">
        <f>SUM(J790:J793)</f>
        <v>0</v>
      </c>
      <c r="K794" s="156"/>
      <c r="L794" s="799"/>
      <c r="M794" s="64"/>
      <c r="N794" s="65"/>
      <c r="O794" s="72">
        <f>SUM(O790:O793)</f>
        <v>3.7653400000000001</v>
      </c>
    </row>
    <row r="795" spans="1:15" ht="30" x14ac:dyDescent="0.25">
      <c r="A795" s="796"/>
      <c r="B795" s="138" t="s">
        <v>180</v>
      </c>
      <c r="C795" s="124">
        <v>180</v>
      </c>
      <c r="D795" s="13"/>
      <c r="E795" s="13"/>
      <c r="F795" s="63"/>
      <c r="G795" s="63"/>
      <c r="H795" s="63"/>
      <c r="I795" s="63"/>
      <c r="J795" s="96"/>
      <c r="K795" s="108" t="s">
        <v>181</v>
      </c>
      <c r="L795" s="799"/>
      <c r="M795" s="64">
        <v>180</v>
      </c>
      <c r="N795" s="65"/>
      <c r="O795" s="64"/>
    </row>
    <row r="796" spans="1:15" ht="18.75" customHeight="1" x14ac:dyDescent="0.25">
      <c r="A796" s="796"/>
      <c r="B796" s="107" t="s">
        <v>182</v>
      </c>
      <c r="C796" s="107"/>
      <c r="D796" s="63">
        <v>18</v>
      </c>
      <c r="E796" s="63" t="s">
        <v>183</v>
      </c>
      <c r="F796" s="63">
        <v>0.93600000000000005</v>
      </c>
      <c r="G796" s="63">
        <v>5.3999999999999999E-2</v>
      </c>
      <c r="H796" s="63">
        <v>9.18</v>
      </c>
      <c r="I796" s="63">
        <v>41.76</v>
      </c>
      <c r="J796" s="96">
        <v>0.72</v>
      </c>
      <c r="K796" s="136"/>
      <c r="L796" s="799"/>
      <c r="M796" s="64"/>
      <c r="N796" s="114">
        <v>100</v>
      </c>
      <c r="O796" s="93">
        <f>SUM(N796*D796)/1000</f>
        <v>1.8</v>
      </c>
    </row>
    <row r="797" spans="1:15" x14ac:dyDescent="0.25">
      <c r="A797" s="796"/>
      <c r="B797" s="107" t="s">
        <v>38</v>
      </c>
      <c r="C797" s="107"/>
      <c r="D797" s="63">
        <v>14.4</v>
      </c>
      <c r="E797" s="63">
        <v>14.4</v>
      </c>
      <c r="F797" s="63">
        <v>0</v>
      </c>
      <c r="G797" s="63">
        <v>0</v>
      </c>
      <c r="H797" s="63">
        <v>14.371</v>
      </c>
      <c r="I797" s="63">
        <v>54.576000000000001</v>
      </c>
      <c r="J797" s="96">
        <v>0</v>
      </c>
      <c r="K797" s="136"/>
      <c r="L797" s="799"/>
      <c r="M797" s="64"/>
      <c r="N797" s="114">
        <v>50.7</v>
      </c>
      <c r="O797" s="93">
        <f>SUM(N797*D797)/1000</f>
        <v>0.73008000000000006</v>
      </c>
    </row>
    <row r="798" spans="1:15" x14ac:dyDescent="0.25">
      <c r="A798" s="796"/>
      <c r="B798" s="107" t="s">
        <v>19</v>
      </c>
      <c r="C798" s="107"/>
      <c r="D798" s="63">
        <v>182.7</v>
      </c>
      <c r="E798" s="63">
        <v>182.7</v>
      </c>
      <c r="F798" s="63">
        <v>0</v>
      </c>
      <c r="G798" s="63">
        <v>0</v>
      </c>
      <c r="H798" s="63">
        <v>0</v>
      </c>
      <c r="I798" s="63">
        <v>0</v>
      </c>
      <c r="J798" s="96">
        <v>0</v>
      </c>
      <c r="K798" s="136"/>
      <c r="L798" s="799"/>
      <c r="M798" s="64"/>
      <c r="N798" s="114">
        <v>0</v>
      </c>
      <c r="O798" s="93">
        <f>SUM(N798*D798)/1000</f>
        <v>0</v>
      </c>
    </row>
    <row r="799" spans="1:15" x14ac:dyDescent="0.25">
      <c r="A799" s="796"/>
      <c r="B799" s="107"/>
      <c r="C799" s="107"/>
      <c r="D799" s="63"/>
      <c r="E799" s="63"/>
      <c r="F799" s="118">
        <f>SUM(F796:F798)</f>
        <v>0.93600000000000005</v>
      </c>
      <c r="G799" s="118">
        <f t="shared" ref="G799:J799" si="72">SUM(G796:G798)</f>
        <v>5.3999999999999999E-2</v>
      </c>
      <c r="H799" s="118">
        <f t="shared" si="72"/>
        <v>23.551000000000002</v>
      </c>
      <c r="I799" s="118">
        <f t="shared" si="72"/>
        <v>96.335999999999999</v>
      </c>
      <c r="J799" s="118">
        <f t="shared" si="72"/>
        <v>0.72</v>
      </c>
      <c r="K799" s="153"/>
      <c r="L799" s="799"/>
      <c r="M799" s="64"/>
      <c r="N799" s="47"/>
      <c r="O799" s="281">
        <f>SUM(O796:O798)</f>
        <v>2.5300799999999999</v>
      </c>
    </row>
    <row r="800" spans="1:15" x14ac:dyDescent="0.25">
      <c r="A800" s="796"/>
      <c r="B800" s="291" t="s">
        <v>40</v>
      </c>
      <c r="C800" s="124">
        <v>70</v>
      </c>
      <c r="D800" s="63">
        <v>70</v>
      </c>
      <c r="E800" s="63">
        <v>70</v>
      </c>
      <c r="F800" s="118">
        <v>3.85</v>
      </c>
      <c r="G800" s="118">
        <v>1.5</v>
      </c>
      <c r="H800" s="118">
        <v>24.9</v>
      </c>
      <c r="I800" s="118">
        <v>131</v>
      </c>
      <c r="J800" s="139">
        <v>0</v>
      </c>
      <c r="K800" s="153" t="s">
        <v>73</v>
      </c>
      <c r="L800" s="799"/>
      <c r="M800" s="64">
        <v>40</v>
      </c>
      <c r="N800" s="114">
        <v>35</v>
      </c>
      <c r="O800" s="281">
        <f>SUM(N800*D800)/1000</f>
        <v>2.4500000000000002</v>
      </c>
    </row>
    <row r="801" spans="1:15" x14ac:dyDescent="0.25">
      <c r="A801" s="797"/>
      <c r="B801" s="124" t="s">
        <v>74</v>
      </c>
      <c r="C801" s="124"/>
      <c r="D801" s="63"/>
      <c r="E801" s="63"/>
      <c r="F801" s="142">
        <f>SUM(F771,F794,F781,F799:F800,)</f>
        <v>16.848000000000003</v>
      </c>
      <c r="G801" s="142">
        <f>SUM(G771,G794,G781,G799:G800,)</f>
        <v>11.292999999999999</v>
      </c>
      <c r="H801" s="142">
        <f>SUM(H771,H794,H781,H799:H800,)</f>
        <v>132.90099999999998</v>
      </c>
      <c r="I801" s="142">
        <f>SUM(I771,I794,I781,I799:I800,)</f>
        <v>705.31599999999992</v>
      </c>
      <c r="J801" s="142">
        <f>SUM(J771,J794,J781,J799:J800,)</f>
        <v>48.832000000000008</v>
      </c>
      <c r="K801" s="251"/>
      <c r="L801" s="800"/>
      <c r="M801" s="35">
        <f>SUM(M758:M800)</f>
        <v>765</v>
      </c>
      <c r="N801" s="235"/>
      <c r="O801" s="142" t="e">
        <f>SUM(O771,#REF!,O799:O800,)</f>
        <v>#REF!</v>
      </c>
    </row>
    <row r="802" spans="1:15" x14ac:dyDescent="0.25">
      <c r="A802" s="5" t="s">
        <v>75</v>
      </c>
      <c r="B802" s="13"/>
      <c r="C802" s="4"/>
      <c r="D802" s="105"/>
      <c r="E802" s="106"/>
      <c r="F802" s="51"/>
      <c r="G802" s="51"/>
      <c r="H802" s="51"/>
      <c r="I802" s="51"/>
      <c r="J802" s="53"/>
      <c r="K802" s="125"/>
      <c r="L802" s="464"/>
      <c r="M802" s="64"/>
      <c r="N802" s="65"/>
      <c r="O802" s="64"/>
    </row>
    <row r="803" spans="1:15" x14ac:dyDescent="0.25">
      <c r="A803" s="781"/>
      <c r="B803" s="435" t="s">
        <v>124</v>
      </c>
      <c r="C803" s="124">
        <v>60</v>
      </c>
      <c r="D803" s="63"/>
      <c r="E803" s="13"/>
      <c r="F803" s="13"/>
      <c r="G803" s="13"/>
      <c r="H803" s="13"/>
      <c r="I803" s="13"/>
      <c r="J803" s="96"/>
      <c r="K803" s="125" t="s">
        <v>125</v>
      </c>
      <c r="L803" s="807" t="s">
        <v>43</v>
      </c>
      <c r="M803" s="64">
        <v>60</v>
      </c>
      <c r="N803" s="65"/>
      <c r="O803" s="64"/>
    </row>
    <row r="804" spans="1:15" x14ac:dyDescent="0.25">
      <c r="A804" s="782"/>
      <c r="B804" s="107" t="s">
        <v>33</v>
      </c>
      <c r="C804" s="107"/>
      <c r="D804" s="63">
        <v>33.6</v>
      </c>
      <c r="E804" s="63">
        <v>33.6</v>
      </c>
      <c r="F804" s="194">
        <v>3.46</v>
      </c>
      <c r="G804" s="194">
        <v>0.37</v>
      </c>
      <c r="H804" s="194">
        <v>23.18</v>
      </c>
      <c r="I804" s="194">
        <v>112.2</v>
      </c>
      <c r="J804" s="97">
        <v>0</v>
      </c>
      <c r="K804" s="126"/>
      <c r="L804" s="808"/>
      <c r="M804" s="64"/>
      <c r="N804" s="114">
        <v>27.17</v>
      </c>
      <c r="O804" s="68">
        <f>SUM(N804*D804)/1000</f>
        <v>0.91291200000000017</v>
      </c>
    </row>
    <row r="805" spans="1:15" x14ac:dyDescent="0.25">
      <c r="A805" s="782"/>
      <c r="B805" s="107" t="s">
        <v>49</v>
      </c>
      <c r="C805" s="107"/>
      <c r="D805" s="63">
        <v>9</v>
      </c>
      <c r="E805" s="63">
        <v>9</v>
      </c>
      <c r="F805" s="194">
        <v>0</v>
      </c>
      <c r="G805" s="194">
        <v>0</v>
      </c>
      <c r="H805" s="194">
        <v>8.98</v>
      </c>
      <c r="I805" s="194">
        <v>34.11</v>
      </c>
      <c r="J805" s="97">
        <v>0</v>
      </c>
      <c r="K805" s="126"/>
      <c r="L805" s="808"/>
      <c r="M805" s="64"/>
      <c r="N805" s="114">
        <v>50.7</v>
      </c>
      <c r="O805" s="68">
        <f>SUM(N805*D805)/1000</f>
        <v>0.45630000000000004</v>
      </c>
    </row>
    <row r="806" spans="1:15" x14ac:dyDescent="0.25">
      <c r="A806" s="782"/>
      <c r="B806" s="107" t="s">
        <v>126</v>
      </c>
      <c r="C806" s="107"/>
      <c r="D806" s="63">
        <v>8</v>
      </c>
      <c r="E806" s="63">
        <v>8</v>
      </c>
      <c r="F806" s="194">
        <v>0.05</v>
      </c>
      <c r="G806" s="194">
        <v>6.24</v>
      </c>
      <c r="H806" s="194">
        <v>0.08</v>
      </c>
      <c r="I806" s="194">
        <v>52.88</v>
      </c>
      <c r="J806" s="97">
        <v>0</v>
      </c>
      <c r="K806" s="126"/>
      <c r="L806" s="808"/>
      <c r="M806" s="64"/>
      <c r="N806" s="114">
        <v>376.98</v>
      </c>
      <c r="O806" s="68">
        <f>SUM(N806*D806)/1000</f>
        <v>3.0158400000000003</v>
      </c>
    </row>
    <row r="807" spans="1:15" x14ac:dyDescent="0.25">
      <c r="A807" s="782"/>
      <c r="B807" s="107" t="s">
        <v>34</v>
      </c>
      <c r="C807" s="107"/>
      <c r="D807" s="195">
        <v>7</v>
      </c>
      <c r="E807" s="63" t="s">
        <v>219</v>
      </c>
      <c r="F807" s="194">
        <v>0.89</v>
      </c>
      <c r="G807" s="194">
        <v>0.8</v>
      </c>
      <c r="H807" s="194">
        <v>0.05</v>
      </c>
      <c r="I807" s="194">
        <v>10.99</v>
      </c>
      <c r="J807" s="97">
        <v>0</v>
      </c>
      <c r="K807" s="126"/>
      <c r="L807" s="808"/>
      <c r="M807" s="64"/>
      <c r="N807" s="114">
        <v>4.6989999999999998</v>
      </c>
      <c r="O807" s="68">
        <f>SUM(N807*D807)/40</f>
        <v>0.82232499999999997</v>
      </c>
    </row>
    <row r="808" spans="1:15" x14ac:dyDescent="0.25">
      <c r="A808" s="782"/>
      <c r="B808" s="107" t="s">
        <v>127</v>
      </c>
      <c r="C808" s="107"/>
      <c r="D808" s="195">
        <v>4</v>
      </c>
      <c r="E808" s="63" t="s">
        <v>220</v>
      </c>
      <c r="F808" s="194">
        <v>0.51</v>
      </c>
      <c r="G808" s="194">
        <v>0.46</v>
      </c>
      <c r="H808" s="194">
        <v>0.03</v>
      </c>
      <c r="I808" s="194">
        <v>6.28</v>
      </c>
      <c r="J808" s="97">
        <v>0</v>
      </c>
      <c r="K808" s="126"/>
      <c r="L808" s="808"/>
      <c r="M808" s="64"/>
      <c r="N808" s="114">
        <v>4.6989999999999998</v>
      </c>
      <c r="O808" s="68">
        <f>SUM(N808*D808)/40</f>
        <v>0.46989999999999998</v>
      </c>
    </row>
    <row r="809" spans="1:15" x14ac:dyDescent="0.25">
      <c r="A809" s="782"/>
      <c r="B809" s="107" t="s">
        <v>128</v>
      </c>
      <c r="C809" s="107"/>
      <c r="D809" s="63">
        <v>0.6</v>
      </c>
      <c r="E809" s="63">
        <v>0.6</v>
      </c>
      <c r="F809" s="194">
        <v>0</v>
      </c>
      <c r="G809" s="194">
        <v>0</v>
      </c>
      <c r="H809" s="194">
        <v>0</v>
      </c>
      <c r="I809" s="194">
        <v>0</v>
      </c>
      <c r="J809" s="97">
        <v>0</v>
      </c>
      <c r="K809" s="126"/>
      <c r="L809" s="808"/>
      <c r="M809" s="64"/>
      <c r="N809" s="114">
        <v>400</v>
      </c>
      <c r="O809" s="68">
        <f>SUM(N809*D809)/1000</f>
        <v>0.24</v>
      </c>
    </row>
    <row r="810" spans="1:15" x14ac:dyDescent="0.25">
      <c r="A810" s="782"/>
      <c r="B810" s="107" t="s">
        <v>129</v>
      </c>
      <c r="C810" s="107"/>
      <c r="D810" s="63">
        <v>0.03</v>
      </c>
      <c r="E810" s="63">
        <v>0.03</v>
      </c>
      <c r="F810" s="194">
        <v>0</v>
      </c>
      <c r="G810" s="194">
        <v>0</v>
      </c>
      <c r="H810" s="194">
        <v>0</v>
      </c>
      <c r="I810" s="194">
        <v>0</v>
      </c>
      <c r="J810" s="97">
        <v>0</v>
      </c>
      <c r="K810" s="126"/>
      <c r="L810" s="808"/>
      <c r="M810" s="64"/>
      <c r="N810" s="114">
        <v>2500</v>
      </c>
      <c r="O810" s="68">
        <f>SUM(N810*D810)/1000</f>
        <v>7.4999999999999997E-2</v>
      </c>
    </row>
    <row r="811" spans="1:15" x14ac:dyDescent="0.25">
      <c r="A811" s="782"/>
      <c r="B811" s="107" t="s">
        <v>112</v>
      </c>
      <c r="C811" s="107"/>
      <c r="D811" s="63">
        <v>0.18</v>
      </c>
      <c r="E811" s="63">
        <v>0.18</v>
      </c>
      <c r="F811" s="194">
        <v>0</v>
      </c>
      <c r="G811" s="194">
        <v>0</v>
      </c>
      <c r="H811" s="194">
        <v>0</v>
      </c>
      <c r="I811" s="194">
        <v>0</v>
      </c>
      <c r="J811" s="97">
        <v>0</v>
      </c>
      <c r="K811" s="126"/>
      <c r="L811" s="808"/>
      <c r="M811" s="64"/>
      <c r="N811" s="114">
        <v>16.62</v>
      </c>
      <c r="O811" s="68">
        <f>SUM(N811*D811)/1000</f>
        <v>2.9916000000000001E-3</v>
      </c>
    </row>
    <row r="812" spans="1:15" x14ac:dyDescent="0.25">
      <c r="A812" s="782"/>
      <c r="B812" s="107" t="s">
        <v>66</v>
      </c>
      <c r="C812" s="107"/>
      <c r="D812" s="63">
        <v>12</v>
      </c>
      <c r="E812" s="63">
        <v>12</v>
      </c>
      <c r="F812" s="194">
        <v>0.33</v>
      </c>
      <c r="G812" s="194">
        <v>0.3</v>
      </c>
      <c r="H812" s="194">
        <v>0.56000000000000005</v>
      </c>
      <c r="I812" s="194">
        <v>6.96</v>
      </c>
      <c r="J812" s="97">
        <v>0.15</v>
      </c>
      <c r="K812" s="126"/>
      <c r="L812" s="808"/>
      <c r="M812" s="64"/>
      <c r="N812" s="114">
        <v>43.22</v>
      </c>
      <c r="O812" s="68">
        <f>SUM(N812*D812)/1000</f>
        <v>0.51863999999999999</v>
      </c>
    </row>
    <row r="813" spans="1:15" ht="30" x14ac:dyDescent="0.25">
      <c r="A813" s="782"/>
      <c r="B813" s="107" t="s">
        <v>130</v>
      </c>
      <c r="C813" s="107"/>
      <c r="D813" s="63">
        <v>0.2</v>
      </c>
      <c r="E813" s="63">
        <v>0.2</v>
      </c>
      <c r="F813" s="194">
        <v>0</v>
      </c>
      <c r="G813" s="194">
        <v>0.28999999999999998</v>
      </c>
      <c r="H813" s="194">
        <v>0</v>
      </c>
      <c r="I813" s="194">
        <v>1.798</v>
      </c>
      <c r="J813" s="97">
        <v>0</v>
      </c>
      <c r="K813" s="126"/>
      <c r="L813" s="808"/>
      <c r="M813" s="64"/>
      <c r="N813" s="114">
        <v>92.2</v>
      </c>
      <c r="O813" s="78">
        <f>SUM(N813*D813)/1000</f>
        <v>1.8440000000000002E-2</v>
      </c>
    </row>
    <row r="814" spans="1:15" x14ac:dyDescent="0.25">
      <c r="A814" s="782"/>
      <c r="B814" s="107"/>
      <c r="C814" s="107"/>
      <c r="D814" s="63"/>
      <c r="E814" s="63"/>
      <c r="F814" s="206">
        <f>SUM(F804:F813)</f>
        <v>5.2399999999999993</v>
      </c>
      <c r="G814" s="206">
        <f t="shared" ref="G814:J814" si="73">SUM(G804:G813)</f>
        <v>8.4599999999999991</v>
      </c>
      <c r="H814" s="206">
        <f t="shared" si="73"/>
        <v>32.879999999999995</v>
      </c>
      <c r="I814" s="206">
        <f t="shared" si="73"/>
        <v>225.21800000000002</v>
      </c>
      <c r="J814" s="206">
        <f t="shared" si="73"/>
        <v>0.15</v>
      </c>
      <c r="K814" s="153"/>
      <c r="L814" s="808"/>
      <c r="M814" s="64"/>
      <c r="N814" s="65"/>
      <c r="O814" s="72">
        <f>SUM(O804:O813)</f>
        <v>6.5323486000000006</v>
      </c>
    </row>
    <row r="815" spans="1:15" ht="30" x14ac:dyDescent="0.25">
      <c r="A815" s="782"/>
      <c r="B815" s="435" t="s">
        <v>55</v>
      </c>
      <c r="C815" s="124">
        <v>180</v>
      </c>
      <c r="D815" s="13"/>
      <c r="E815" s="13"/>
      <c r="F815" s="63"/>
      <c r="G815" s="63"/>
      <c r="H815" s="63"/>
      <c r="I815" s="63"/>
      <c r="J815" s="96"/>
      <c r="K815" s="108" t="s">
        <v>186</v>
      </c>
      <c r="L815" s="808"/>
      <c r="M815" s="86">
        <v>85</v>
      </c>
      <c r="N815" s="87"/>
      <c r="O815" s="325"/>
    </row>
    <row r="816" spans="1:15" x14ac:dyDescent="0.25">
      <c r="A816" s="782"/>
      <c r="B816" s="107" t="s">
        <v>56</v>
      </c>
      <c r="C816" s="107"/>
      <c r="D816" s="63">
        <v>3</v>
      </c>
      <c r="E816" s="63">
        <v>3</v>
      </c>
      <c r="F816" s="63">
        <v>0.45</v>
      </c>
      <c r="G816" s="63">
        <v>0.108</v>
      </c>
      <c r="H816" s="63">
        <v>0.21</v>
      </c>
      <c r="I816" s="63">
        <v>3.5609999999999999</v>
      </c>
      <c r="J816" s="96">
        <v>0</v>
      </c>
      <c r="K816" s="136"/>
      <c r="L816" s="808"/>
      <c r="M816" s="86"/>
      <c r="N816" s="87">
        <v>73.69</v>
      </c>
      <c r="O816" s="85">
        <f>SUM(D816*N816)/1000</f>
        <v>0.22106999999999999</v>
      </c>
    </row>
    <row r="817" spans="1:15" x14ac:dyDescent="0.25">
      <c r="A817" s="782"/>
      <c r="B817" s="107" t="s">
        <v>44</v>
      </c>
      <c r="C817" s="107"/>
      <c r="D817" s="63">
        <v>90</v>
      </c>
      <c r="E817" s="63">
        <v>90</v>
      </c>
      <c r="F817" s="63">
        <v>2.52</v>
      </c>
      <c r="G817" s="63">
        <v>2.88</v>
      </c>
      <c r="H817" s="63">
        <v>4.2300000000000004</v>
      </c>
      <c r="I817" s="63">
        <v>52.2</v>
      </c>
      <c r="J817" s="96">
        <v>1.17</v>
      </c>
      <c r="K817" s="136"/>
      <c r="L817" s="808"/>
      <c r="M817" s="86"/>
      <c r="N817" s="87">
        <v>50.7</v>
      </c>
      <c r="O817" s="85">
        <f>SUM(D817*N817)/1000</f>
        <v>4.5629999999999997</v>
      </c>
    </row>
    <row r="818" spans="1:15" x14ac:dyDescent="0.25">
      <c r="A818" s="782"/>
      <c r="B818" s="107" t="s">
        <v>19</v>
      </c>
      <c r="C818" s="107"/>
      <c r="D818" s="63">
        <v>108</v>
      </c>
      <c r="E818" s="63">
        <v>108</v>
      </c>
      <c r="F818" s="63">
        <v>0</v>
      </c>
      <c r="G818" s="63">
        <v>0</v>
      </c>
      <c r="H818" s="63">
        <v>0</v>
      </c>
      <c r="I818" s="63">
        <v>0</v>
      </c>
      <c r="J818" s="96">
        <v>0</v>
      </c>
      <c r="K818" s="136"/>
      <c r="L818" s="808"/>
      <c r="M818" s="86"/>
      <c r="N818" s="87">
        <v>0</v>
      </c>
      <c r="O818" s="85">
        <f>SUM(D818*N818)/1000</f>
        <v>0</v>
      </c>
    </row>
    <row r="819" spans="1:15" x14ac:dyDescent="0.25">
      <c r="A819" s="782"/>
      <c r="B819" s="107" t="s">
        <v>49</v>
      </c>
      <c r="C819" s="107"/>
      <c r="D819" s="63">
        <v>10</v>
      </c>
      <c r="E819" s="63">
        <v>10</v>
      </c>
      <c r="F819" s="63">
        <v>0</v>
      </c>
      <c r="G819" s="63">
        <v>0</v>
      </c>
      <c r="H819" s="63">
        <v>9.98</v>
      </c>
      <c r="I819" s="63">
        <v>37.9</v>
      </c>
      <c r="J819" s="96">
        <v>0</v>
      </c>
      <c r="K819" s="136"/>
      <c r="L819" s="808"/>
      <c r="M819" s="86"/>
      <c r="N819" s="87">
        <v>50.7</v>
      </c>
      <c r="O819" s="85">
        <f>SUM(D819*N819)/1000</f>
        <v>0.50700000000000001</v>
      </c>
    </row>
    <row r="820" spans="1:15" x14ac:dyDescent="0.25">
      <c r="A820" s="782"/>
      <c r="B820" s="327"/>
      <c r="C820" s="133"/>
      <c r="D820" s="100"/>
      <c r="E820" s="63"/>
      <c r="F820" s="267">
        <f>SUM(F816:F819)</f>
        <v>2.97</v>
      </c>
      <c r="G820" s="267">
        <f t="shared" ref="G820:J820" si="74">SUM(G816:G819)</f>
        <v>2.988</v>
      </c>
      <c r="H820" s="267">
        <f t="shared" si="74"/>
        <v>14.420000000000002</v>
      </c>
      <c r="I820" s="267">
        <f t="shared" si="74"/>
        <v>93.661000000000001</v>
      </c>
      <c r="J820" s="267">
        <f t="shared" si="74"/>
        <v>1.17</v>
      </c>
      <c r="K820" s="491"/>
      <c r="L820" s="808"/>
      <c r="M820" s="86"/>
      <c r="N820" s="87"/>
      <c r="O820" s="72">
        <f>SUM(O816:O819)</f>
        <v>5.2910699999999995</v>
      </c>
    </row>
    <row r="821" spans="1:15" x14ac:dyDescent="0.25">
      <c r="A821" s="783"/>
      <c r="B821" s="124" t="s">
        <v>46</v>
      </c>
      <c r="C821" s="96"/>
      <c r="D821" s="63"/>
      <c r="E821" s="63"/>
      <c r="F821" s="222">
        <f>SUM(F814,F820)</f>
        <v>8.2099999999999991</v>
      </c>
      <c r="G821" s="222">
        <f t="shared" ref="G821:J821" si="75">SUM(G814,G820)</f>
        <v>11.447999999999999</v>
      </c>
      <c r="H821" s="222">
        <f t="shared" si="75"/>
        <v>47.3</v>
      </c>
      <c r="I821" s="222">
        <f t="shared" si="75"/>
        <v>318.87900000000002</v>
      </c>
      <c r="J821" s="222">
        <f t="shared" si="75"/>
        <v>1.3199999999999998</v>
      </c>
      <c r="K821" s="492"/>
      <c r="L821" s="809"/>
      <c r="M821" s="258">
        <f>SUM(M803:M820)</f>
        <v>145</v>
      </c>
      <c r="N821" s="259"/>
      <c r="O821" s="222">
        <f>SUM(O814,O820)</f>
        <v>11.8234186</v>
      </c>
    </row>
    <row r="822" spans="1:15" ht="25.5" x14ac:dyDescent="0.25">
      <c r="A822" s="38" t="s">
        <v>168</v>
      </c>
      <c r="B822" s="261"/>
      <c r="C822" s="39"/>
      <c r="D822" s="23"/>
      <c r="E822" s="23"/>
      <c r="F822" s="275">
        <f>SUM(F756,F801,F821)</f>
        <v>33.712100000000007</v>
      </c>
      <c r="G822" s="275">
        <f>SUM(G756,G801,G821)</f>
        <v>34.232399999999998</v>
      </c>
      <c r="H822" s="275">
        <f>SUM(H756,H801,H821)</f>
        <v>256.94659999999999</v>
      </c>
      <c r="I822" s="275">
        <f>SUM(I756,I801,I821)</f>
        <v>1466.8763999999996</v>
      </c>
      <c r="J822" s="275">
        <f>SUM(J756,J801,J821)</f>
        <v>61.41960000000001</v>
      </c>
      <c r="K822" s="30"/>
      <c r="L822" s="471"/>
      <c r="M822" s="31"/>
      <c r="N822" s="31"/>
      <c r="O822" s="33" t="e">
        <f>SUM(O756,O801,O821)</f>
        <v>#REF!</v>
      </c>
    </row>
    <row r="823" spans="1:15" x14ac:dyDescent="0.25">
      <c r="A823" s="14"/>
      <c r="B823" s="40" t="s">
        <v>169</v>
      </c>
      <c r="C823" s="40"/>
      <c r="D823" s="41"/>
      <c r="E823" s="41"/>
      <c r="F823" s="287">
        <f>SUM(F75,F175,F276,F355,F421,F495,F577,F651,F735,F822,)/10</f>
        <v>38.276950000000006</v>
      </c>
      <c r="G823" s="287">
        <f>SUM(G75,G175,G276,G355,G421,G495,G577,G651,G735,G822,)/10</f>
        <v>39.157669999999996</v>
      </c>
      <c r="H823" s="287">
        <f>SUM(H75,H175,H276,H355,H421,H495,H577,H651,H735,H822,)/10</f>
        <v>207.56302999999997</v>
      </c>
      <c r="I823" s="287">
        <f>SUM(I75,I175,I276,I355,I421,I495,I577,I651,I735,I822,)/10</f>
        <v>1360.7401299999997</v>
      </c>
      <c r="J823" s="288">
        <f>SUM(J75,J175,J276,J355,J421,J495,J577,J651,J735,J822,)/10</f>
        <v>36.017249999999997</v>
      </c>
      <c r="K823" s="45"/>
      <c r="L823" s="478"/>
      <c r="M823" s="46"/>
      <c r="N823" s="47"/>
      <c r="O823" s="48" t="e">
        <f>SUM(O75,O175,O276,O355,O421,O495,O577,O651,O735,O822)/10</f>
        <v>#REF!</v>
      </c>
    </row>
    <row r="824" spans="1:15" x14ac:dyDescent="0.25">
      <c r="A824" s="14"/>
      <c r="B824" s="40" t="s">
        <v>170</v>
      </c>
      <c r="C824" s="40"/>
      <c r="D824" s="41"/>
      <c r="E824" s="41"/>
      <c r="F824" s="42">
        <v>54</v>
      </c>
      <c r="G824" s="42">
        <v>60</v>
      </c>
      <c r="H824" s="42">
        <v>261</v>
      </c>
      <c r="I824" s="42">
        <v>1800</v>
      </c>
      <c r="J824" s="43"/>
      <c r="K824" s="156"/>
      <c r="L824" s="812"/>
      <c r="M824" s="812"/>
      <c r="N824" s="812"/>
      <c r="O824" s="94"/>
    </row>
    <row r="825" spans="1:15" ht="15" customHeight="1" x14ac:dyDescent="0.25">
      <c r="A825" s="14"/>
      <c r="B825" s="49" t="s">
        <v>171</v>
      </c>
      <c r="C825" s="50"/>
      <c r="D825" s="51"/>
      <c r="E825" s="51"/>
      <c r="F825" s="52">
        <v>88</v>
      </c>
      <c r="G825" s="52">
        <v>84.05</v>
      </c>
      <c r="H825" s="52">
        <v>90.2</v>
      </c>
      <c r="I825" s="52">
        <v>88.2</v>
      </c>
      <c r="J825" s="157"/>
      <c r="K825" s="493"/>
      <c r="N825" s="95"/>
    </row>
    <row r="826" spans="1:15" x14ac:dyDescent="0.25">
      <c r="A826" s="440"/>
      <c r="B826" s="55"/>
      <c r="C826" s="55"/>
      <c r="D826" s="56"/>
      <c r="E826" s="56"/>
      <c r="F826" s="56"/>
      <c r="G826" s="56"/>
      <c r="H826" s="56"/>
      <c r="I826" s="56"/>
      <c r="J826" s="55"/>
      <c r="K826" s="494" t="s">
        <v>48</v>
      </c>
      <c r="N826" s="95"/>
    </row>
    <row r="827" spans="1:15" x14ac:dyDescent="0.25">
      <c r="A827" s="440"/>
      <c r="B827" s="262"/>
      <c r="C827" s="55"/>
      <c r="E827" s="813" t="s">
        <v>172</v>
      </c>
      <c r="F827" s="813"/>
      <c r="G827" s="290" t="s">
        <v>173</v>
      </c>
      <c r="H827" s="56"/>
      <c r="I827" s="56"/>
      <c r="J827" s="55"/>
    </row>
    <row r="828" spans="1:15" x14ac:dyDescent="0.25">
      <c r="A828" s="440"/>
      <c r="B828" s="55"/>
      <c r="C828" s="55"/>
      <c r="D828" s="57" t="s">
        <v>174</v>
      </c>
      <c r="E828" s="58" t="s">
        <v>173</v>
      </c>
      <c r="F828" s="58"/>
      <c r="G828" s="58"/>
      <c r="H828" s="58"/>
      <c r="I828" s="59"/>
      <c r="J828" s="263"/>
    </row>
    <row r="829" spans="1:15" x14ac:dyDescent="0.25">
      <c r="A829" s="440"/>
      <c r="B829" s="56"/>
      <c r="C829" s="56"/>
      <c r="D829" s="57" t="s">
        <v>175</v>
      </c>
      <c r="E829" s="59"/>
      <c r="F829" s="57" t="s">
        <v>176</v>
      </c>
      <c r="G829" s="59"/>
      <c r="H829" s="57" t="s">
        <v>204</v>
      </c>
      <c r="I829" s="59"/>
      <c r="J829" s="55"/>
    </row>
    <row r="830" spans="1:15" x14ac:dyDescent="0.25">
      <c r="A830" s="440"/>
      <c r="B830" s="55"/>
      <c r="C830" s="55"/>
      <c r="D830" s="51" t="s">
        <v>177</v>
      </c>
      <c r="E830" s="51" t="s">
        <v>178</v>
      </c>
      <c r="F830" s="51" t="s">
        <v>177</v>
      </c>
      <c r="G830" s="51" t="s">
        <v>178</v>
      </c>
      <c r="H830" s="51" t="s">
        <v>177</v>
      </c>
      <c r="I830" s="51" t="s">
        <v>178</v>
      </c>
      <c r="J830" s="55"/>
    </row>
    <row r="831" spans="1:15" x14ac:dyDescent="0.25">
      <c r="A831" s="440"/>
      <c r="B831" s="55"/>
      <c r="C831" s="55"/>
      <c r="D831" s="51" t="s">
        <v>17</v>
      </c>
      <c r="E831" s="51">
        <v>510.04</v>
      </c>
      <c r="F831" s="51" t="s">
        <v>29</v>
      </c>
      <c r="G831" s="51">
        <v>678.9</v>
      </c>
      <c r="H831" s="51" t="s">
        <v>43</v>
      </c>
      <c r="I831" s="51">
        <v>326.3</v>
      </c>
      <c r="J831" s="55"/>
    </row>
    <row r="832" spans="1:15" x14ac:dyDescent="0.25">
      <c r="A832" s="440"/>
      <c r="B832" s="55"/>
      <c r="C832" s="55"/>
      <c r="D832" s="56"/>
      <c r="E832" s="56"/>
      <c r="F832" s="56"/>
      <c r="G832" s="56"/>
      <c r="H832" s="56"/>
      <c r="I832" s="56"/>
      <c r="J832" s="55"/>
    </row>
  </sheetData>
  <mergeCells count="74">
    <mergeCell ref="L824:N824"/>
    <mergeCell ref="E827:F827"/>
    <mergeCell ref="L53:L74"/>
    <mergeCell ref="L4:L26"/>
    <mergeCell ref="L472:L484"/>
    <mergeCell ref="L149:L174"/>
    <mergeCell ref="L101:L147"/>
    <mergeCell ref="A803:A821"/>
    <mergeCell ref="L803:L821"/>
    <mergeCell ref="A689:A715"/>
    <mergeCell ref="L689:L715"/>
    <mergeCell ref="A726:A734"/>
    <mergeCell ref="L726:L734"/>
    <mergeCell ref="A745:A753"/>
    <mergeCell ref="L745:L756"/>
    <mergeCell ref="A754:A756"/>
    <mergeCell ref="A758:A801"/>
    <mergeCell ref="L758:L801"/>
    <mergeCell ref="A601:A636"/>
    <mergeCell ref="L601:L636"/>
    <mergeCell ref="A638:A643"/>
    <mergeCell ref="L638:L643"/>
    <mergeCell ref="L676:L678"/>
    <mergeCell ref="A676:A678"/>
    <mergeCell ref="A665:A675"/>
    <mergeCell ref="B654:B655"/>
    <mergeCell ref="A558:A576"/>
    <mergeCell ref="L558:L575"/>
    <mergeCell ref="A580:A593"/>
    <mergeCell ref="L580:L599"/>
    <mergeCell ref="A594:A599"/>
    <mergeCell ref="A498:A514"/>
    <mergeCell ref="L498:L517"/>
    <mergeCell ref="A515:A517"/>
    <mergeCell ref="A533:A556"/>
    <mergeCell ref="A365:A374"/>
    <mergeCell ref="L365:L377"/>
    <mergeCell ref="A375:A377"/>
    <mergeCell ref="A486:A494"/>
    <mergeCell ref="L486:L494"/>
    <mergeCell ref="A379:A408"/>
    <mergeCell ref="L379:L408"/>
    <mergeCell ref="A412:A420"/>
    <mergeCell ref="L412:L420"/>
    <mergeCell ref="A436:A446"/>
    <mergeCell ref="L436:L449"/>
    <mergeCell ref="A447:A449"/>
    <mergeCell ref="A279:A292"/>
    <mergeCell ref="L280:L295"/>
    <mergeCell ref="A293:A295"/>
    <mergeCell ref="B78:B79"/>
    <mergeCell ref="A472:A484"/>
    <mergeCell ref="A307:A330"/>
    <mergeCell ref="L307:L330"/>
    <mergeCell ref="A332:A354"/>
    <mergeCell ref="L332:L354"/>
    <mergeCell ref="A432:A435"/>
    <mergeCell ref="A90:A96"/>
    <mergeCell ref="L90:L99"/>
    <mergeCell ref="A97:A99"/>
    <mergeCell ref="A261:A275"/>
    <mergeCell ref="L261:L275"/>
    <mergeCell ref="A101:A147"/>
    <mergeCell ref="A12:A22"/>
    <mergeCell ref="A23:A26"/>
    <mergeCell ref="A40:A52"/>
    <mergeCell ref="L40:L52"/>
    <mergeCell ref="A67:A74"/>
    <mergeCell ref="A149:A174"/>
    <mergeCell ref="A178:A195"/>
    <mergeCell ref="L178:L201"/>
    <mergeCell ref="A196:A201"/>
    <mergeCell ref="A203:A248"/>
    <mergeCell ref="L203:L248"/>
  </mergeCells>
  <pageMargins left="0.70866141732283472" right="0.51181102362204722" top="0.70866141732283472" bottom="0.78740157480314965" header="0.31496062992125984" footer="0.31496062992125984"/>
  <pageSetup paperSize="9" scale="80" orientation="landscape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31"/>
  <sheetViews>
    <sheetView topLeftCell="A639" zoomScaleNormal="100" workbookViewId="0">
      <selection activeCell="B645" sqref="B645:K650"/>
    </sheetView>
  </sheetViews>
  <sheetFormatPr defaultRowHeight="15" x14ac:dyDescent="0.25"/>
  <cols>
    <col min="1" max="1" width="18" style="62" bestFit="1" customWidth="1"/>
    <col min="2" max="2" width="41" style="62" bestFit="1" customWidth="1"/>
    <col min="3" max="3" width="10.42578125" style="62" customWidth="1"/>
    <col min="4" max="4" width="11.140625" style="62" customWidth="1"/>
    <col min="5" max="5" width="9.5703125" style="62" customWidth="1"/>
    <col min="6" max="6" width="12" style="62" customWidth="1"/>
    <col min="7" max="7" width="9.7109375" style="62" customWidth="1"/>
    <col min="8" max="8" width="12" style="62" customWidth="1"/>
    <col min="9" max="9" width="11" style="62" customWidth="1"/>
    <col min="10" max="10" width="12.28515625" style="62" customWidth="1"/>
    <col min="11" max="11" width="13.85546875" style="62" customWidth="1"/>
    <col min="12" max="12" width="10.5703125" style="62" hidden="1" customWidth="1"/>
    <col min="13" max="13" width="10.7109375" style="62" hidden="1" customWidth="1"/>
  </cols>
  <sheetData>
    <row r="1" spans="1:14" ht="3" customHeight="1" x14ac:dyDescent="0.25"/>
    <row r="2" spans="1:14" ht="90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2" t="s">
        <v>9</v>
      </c>
      <c r="K2" s="3" t="s">
        <v>10</v>
      </c>
      <c r="L2" s="63" t="s">
        <v>13</v>
      </c>
      <c r="M2" s="63" t="s">
        <v>14</v>
      </c>
      <c r="N2" s="60"/>
    </row>
    <row r="3" spans="1:14" x14ac:dyDescent="0.25">
      <c r="A3" s="4" t="s">
        <v>15</v>
      </c>
      <c r="B3" s="5"/>
      <c r="C3" s="5"/>
      <c r="D3" s="5"/>
      <c r="E3" s="6"/>
      <c r="F3" s="6"/>
      <c r="G3" s="6"/>
      <c r="H3" s="6"/>
      <c r="I3" s="6"/>
      <c r="J3" s="6"/>
      <c r="K3" s="7"/>
      <c r="L3" s="65"/>
      <c r="M3" s="64"/>
    </row>
    <row r="4" spans="1:14" x14ac:dyDescent="0.25">
      <c r="A4" s="5" t="s">
        <v>16</v>
      </c>
      <c r="B4" s="13"/>
      <c r="C4" s="105"/>
      <c r="D4" s="106"/>
      <c r="E4" s="13"/>
      <c r="F4" s="13"/>
      <c r="G4" s="13"/>
      <c r="H4" s="13"/>
      <c r="I4" s="107"/>
      <c r="J4" s="107"/>
      <c r="K4" s="108"/>
      <c r="L4" s="65"/>
      <c r="M4" s="64"/>
    </row>
    <row r="5" spans="1:14" ht="21.75" customHeight="1" x14ac:dyDescent="0.25">
      <c r="A5" s="5"/>
      <c r="B5" s="442" t="s">
        <v>337</v>
      </c>
      <c r="C5" s="124">
        <v>40</v>
      </c>
      <c r="D5" s="63">
        <v>4</v>
      </c>
      <c r="E5" s="63" t="s">
        <v>339</v>
      </c>
      <c r="F5" s="118">
        <v>5.5880000000000001</v>
      </c>
      <c r="G5" s="118">
        <v>5.0599999999999996</v>
      </c>
      <c r="H5" s="118">
        <v>0.308</v>
      </c>
      <c r="I5" s="118">
        <v>69.08</v>
      </c>
      <c r="J5" s="119">
        <v>0</v>
      </c>
      <c r="K5" s="125"/>
      <c r="L5" s="65"/>
      <c r="M5" s="64"/>
    </row>
    <row r="6" spans="1:14" ht="15" customHeight="1" x14ac:dyDescent="0.25">
      <c r="A6" s="781"/>
      <c r="B6" s="428" t="s">
        <v>340</v>
      </c>
      <c r="C6" s="96">
        <v>80</v>
      </c>
      <c r="D6" s="63">
        <v>80</v>
      </c>
      <c r="E6" s="63">
        <v>80</v>
      </c>
      <c r="F6" s="118">
        <v>1.9</v>
      </c>
      <c r="G6" s="118">
        <v>8.9</v>
      </c>
      <c r="H6" s="118">
        <v>7.7</v>
      </c>
      <c r="I6" s="118">
        <v>119</v>
      </c>
      <c r="J6" s="119">
        <v>7.0000000000000007E-2</v>
      </c>
      <c r="K6" s="126" t="s">
        <v>73</v>
      </c>
      <c r="L6" s="114">
        <v>4.6989999999999998</v>
      </c>
      <c r="M6" s="68">
        <f>SUM(L6*D6)/40</f>
        <v>9.3979999999999997</v>
      </c>
    </row>
    <row r="7" spans="1:14" x14ac:dyDescent="0.25">
      <c r="A7" s="782"/>
      <c r="B7" s="529" t="s">
        <v>40</v>
      </c>
      <c r="C7" s="124">
        <v>20</v>
      </c>
      <c r="D7" s="63">
        <v>20</v>
      </c>
      <c r="E7" s="63">
        <v>20</v>
      </c>
      <c r="F7" s="118">
        <v>2.31</v>
      </c>
      <c r="G7" s="118">
        <v>0.9</v>
      </c>
      <c r="H7" s="118">
        <v>14.94</v>
      </c>
      <c r="I7" s="118">
        <v>78.599999999999994</v>
      </c>
      <c r="J7" s="119">
        <v>0</v>
      </c>
      <c r="K7" s="153" t="s">
        <v>73</v>
      </c>
      <c r="L7" s="65">
        <v>35</v>
      </c>
      <c r="M7" s="72">
        <f>SUM(L7*D7)/1000</f>
        <v>0.7</v>
      </c>
    </row>
    <row r="8" spans="1:14" x14ac:dyDescent="0.25">
      <c r="A8" s="782"/>
      <c r="B8" s="529" t="s">
        <v>72</v>
      </c>
      <c r="C8" s="105" t="s">
        <v>187</v>
      </c>
      <c r="D8" s="13"/>
      <c r="E8" s="13"/>
      <c r="F8" s="13"/>
      <c r="G8" s="13"/>
      <c r="H8" s="13"/>
      <c r="I8" s="13"/>
      <c r="J8" s="96"/>
      <c r="K8" s="125" t="s">
        <v>188</v>
      </c>
      <c r="L8" s="65"/>
      <c r="M8" s="68"/>
    </row>
    <row r="9" spans="1:14" x14ac:dyDescent="0.25">
      <c r="A9" s="782"/>
      <c r="B9" s="529" t="s">
        <v>184</v>
      </c>
      <c r="C9" s="124"/>
      <c r="D9" s="13">
        <v>30</v>
      </c>
      <c r="E9" s="13">
        <v>30</v>
      </c>
      <c r="F9" s="13"/>
      <c r="G9" s="13"/>
      <c r="H9" s="13"/>
      <c r="I9" s="13"/>
      <c r="J9" s="96"/>
      <c r="K9" s="125"/>
      <c r="L9" s="65"/>
      <c r="M9" s="68"/>
    </row>
    <row r="10" spans="1:14" x14ac:dyDescent="0.25">
      <c r="A10" s="782"/>
      <c r="B10" s="107" t="s">
        <v>120</v>
      </c>
      <c r="C10" s="124"/>
      <c r="D10" s="63">
        <v>32.4</v>
      </c>
      <c r="E10" s="63">
        <v>32.4</v>
      </c>
      <c r="F10" s="63">
        <v>0</v>
      </c>
      <c r="G10" s="63">
        <v>0</v>
      </c>
      <c r="H10" s="63">
        <v>0</v>
      </c>
      <c r="I10" s="63">
        <v>0</v>
      </c>
      <c r="J10" s="96">
        <v>0</v>
      </c>
      <c r="K10" s="125"/>
      <c r="L10" s="65"/>
      <c r="M10" s="68"/>
    </row>
    <row r="11" spans="1:14" x14ac:dyDescent="0.25">
      <c r="A11" s="782"/>
      <c r="B11" s="107" t="s">
        <v>185</v>
      </c>
      <c r="C11" s="107"/>
      <c r="D11" s="63">
        <v>0.3</v>
      </c>
      <c r="E11" s="63">
        <v>0.3</v>
      </c>
      <c r="F11" s="63">
        <v>0.06</v>
      </c>
      <c r="G11" s="63">
        <v>0</v>
      </c>
      <c r="H11" s="63">
        <v>2.07E-2</v>
      </c>
      <c r="I11" s="63">
        <v>0.45540000000000003</v>
      </c>
      <c r="J11" s="96">
        <v>0.03</v>
      </c>
      <c r="K11" s="126"/>
      <c r="L11" s="114">
        <v>400</v>
      </c>
      <c r="M11" s="68">
        <f>SUM(L11*D11)/1000</f>
        <v>0.12</v>
      </c>
    </row>
    <row r="12" spans="1:14" x14ac:dyDescent="0.25">
      <c r="A12" s="782"/>
      <c r="B12" s="107" t="s">
        <v>49</v>
      </c>
      <c r="C12" s="107"/>
      <c r="D12" s="63">
        <v>10</v>
      </c>
      <c r="E12" s="63">
        <v>10</v>
      </c>
      <c r="F12" s="63">
        <v>0</v>
      </c>
      <c r="G12" s="63">
        <v>0</v>
      </c>
      <c r="H12" s="63">
        <v>9.98</v>
      </c>
      <c r="I12" s="63">
        <v>37.9</v>
      </c>
      <c r="J12" s="96">
        <v>0</v>
      </c>
      <c r="K12" s="126"/>
      <c r="L12" s="114">
        <v>50.7</v>
      </c>
      <c r="M12" s="68">
        <f>SUM(L12*D12)/1000</f>
        <v>0.50700000000000001</v>
      </c>
    </row>
    <row r="13" spans="1:14" x14ac:dyDescent="0.25">
      <c r="A13" s="782"/>
      <c r="B13" s="107" t="s">
        <v>19</v>
      </c>
      <c r="C13" s="107"/>
      <c r="D13" s="63">
        <v>150</v>
      </c>
      <c r="E13" s="63">
        <v>150</v>
      </c>
      <c r="F13" s="63">
        <v>0</v>
      </c>
      <c r="G13" s="63">
        <v>0</v>
      </c>
      <c r="H13" s="63">
        <v>0</v>
      </c>
      <c r="I13" s="63">
        <v>0</v>
      </c>
      <c r="J13" s="96">
        <v>0</v>
      </c>
      <c r="K13" s="126"/>
      <c r="L13" s="114">
        <v>0</v>
      </c>
      <c r="M13" s="68">
        <f>SUM(L13*D13)/1000</f>
        <v>0</v>
      </c>
    </row>
    <row r="14" spans="1:14" x14ac:dyDescent="0.25">
      <c r="A14" s="782"/>
      <c r="B14" s="107"/>
      <c r="C14" s="107"/>
      <c r="D14" s="63"/>
      <c r="E14" s="63"/>
      <c r="F14" s="118">
        <f>SUM(F9:F13)</f>
        <v>0.06</v>
      </c>
      <c r="G14" s="118">
        <f>SUM(G9:G13)</f>
        <v>0</v>
      </c>
      <c r="H14" s="118">
        <f>SUM(H9:H13)</f>
        <v>10.0007</v>
      </c>
      <c r="I14" s="118">
        <f>SUM(I9:I13)</f>
        <v>38.355399999999996</v>
      </c>
      <c r="J14" s="118">
        <f>SUM(J9:J13)</f>
        <v>0.03</v>
      </c>
      <c r="K14" s="153"/>
      <c r="L14" s="65"/>
      <c r="M14" s="72">
        <f>SUM(M9:M13)</f>
        <v>0.627</v>
      </c>
    </row>
    <row r="15" spans="1:14" x14ac:dyDescent="0.25">
      <c r="A15" s="782"/>
      <c r="B15" s="124" t="s">
        <v>57</v>
      </c>
      <c r="C15" s="124"/>
      <c r="D15" s="13"/>
      <c r="E15" s="13"/>
      <c r="F15" s="142">
        <f>SUM(F7:F7,F14,F5,F6)</f>
        <v>9.8580000000000005</v>
      </c>
      <c r="G15" s="142">
        <f t="shared" ref="G15:J15" si="0">SUM(G7:G7,G14,G5,G6)</f>
        <v>14.86</v>
      </c>
      <c r="H15" s="142">
        <f t="shared" si="0"/>
        <v>32.948700000000002</v>
      </c>
      <c r="I15" s="142">
        <f t="shared" si="0"/>
        <v>305.03539999999998</v>
      </c>
      <c r="J15" s="142">
        <f t="shared" si="0"/>
        <v>0.1</v>
      </c>
      <c r="K15" s="158"/>
      <c r="L15" s="65"/>
      <c r="M15" s="71">
        <f>SUM(M7:M7,M14)</f>
        <v>1.327</v>
      </c>
    </row>
    <row r="16" spans="1:14" ht="15" hidden="1" customHeight="1" x14ac:dyDescent="0.25">
      <c r="A16" s="782"/>
      <c r="B16" s="96"/>
      <c r="C16" s="97"/>
      <c r="D16" s="98"/>
      <c r="E16" s="98"/>
      <c r="F16" s="102"/>
      <c r="G16" s="63"/>
      <c r="H16" s="63"/>
      <c r="I16" s="63"/>
      <c r="J16" s="96"/>
      <c r="K16" s="113"/>
      <c r="L16" s="114"/>
      <c r="M16" s="115"/>
    </row>
    <row r="17" spans="1:13" ht="15" hidden="1" customHeight="1" x14ac:dyDescent="0.25">
      <c r="A17" s="782"/>
      <c r="B17" s="96"/>
      <c r="C17" s="97"/>
      <c r="D17" s="98"/>
      <c r="E17" s="98"/>
      <c r="F17" s="102"/>
      <c r="G17" s="63"/>
      <c r="H17" s="63"/>
      <c r="I17" s="63"/>
      <c r="J17" s="96"/>
      <c r="K17" s="113"/>
      <c r="L17" s="114"/>
      <c r="M17" s="115"/>
    </row>
    <row r="18" spans="1:13" ht="15" hidden="1" customHeight="1" x14ac:dyDescent="0.25">
      <c r="A18" s="782"/>
      <c r="B18" s="96"/>
      <c r="C18" s="97"/>
      <c r="D18" s="98"/>
      <c r="E18" s="98"/>
      <c r="F18" s="102"/>
      <c r="G18" s="63"/>
      <c r="H18" s="63"/>
      <c r="I18" s="63"/>
      <c r="J18" s="96"/>
      <c r="K18" s="113"/>
      <c r="L18" s="114"/>
      <c r="M18" s="115"/>
    </row>
    <row r="19" spans="1:13" ht="15" hidden="1" customHeight="1" x14ac:dyDescent="0.25">
      <c r="A19" s="782"/>
      <c r="B19" s="96"/>
      <c r="C19" s="103"/>
      <c r="D19" s="104"/>
      <c r="E19" s="104"/>
      <c r="F19" s="102"/>
      <c r="G19" s="63"/>
      <c r="H19" s="63"/>
      <c r="I19" s="63"/>
      <c r="J19" s="96"/>
      <c r="K19" s="113"/>
      <c r="L19" s="114"/>
      <c r="M19" s="115"/>
    </row>
    <row r="20" spans="1:13" ht="15" hidden="1" customHeight="1" x14ac:dyDescent="0.25">
      <c r="A20" s="782"/>
      <c r="B20" s="116"/>
      <c r="C20" s="117"/>
      <c r="D20" s="100"/>
      <c r="E20" s="100"/>
      <c r="F20" s="118"/>
      <c r="G20" s="118"/>
      <c r="H20" s="118"/>
      <c r="I20" s="118"/>
      <c r="J20" s="118"/>
      <c r="K20" s="120"/>
      <c r="L20" s="65"/>
      <c r="M20" s="72"/>
    </row>
    <row r="21" spans="1:13" ht="15" hidden="1" customHeight="1" x14ac:dyDescent="0.25">
      <c r="A21" s="782"/>
      <c r="B21" s="121"/>
      <c r="C21" s="122"/>
      <c r="D21" s="63"/>
      <c r="E21" s="123"/>
      <c r="F21" s="110"/>
      <c r="G21" s="110"/>
      <c r="H21" s="110"/>
      <c r="I21" s="110"/>
      <c r="J21" s="97"/>
      <c r="K21" s="112"/>
      <c r="L21" s="65"/>
      <c r="M21" s="64"/>
    </row>
    <row r="22" spans="1:13" ht="15" hidden="1" customHeight="1" x14ac:dyDescent="0.25">
      <c r="A22" s="782"/>
      <c r="B22" s="107"/>
      <c r="C22" s="97"/>
      <c r="D22" s="63"/>
      <c r="E22" s="63"/>
      <c r="F22" s="194"/>
      <c r="G22" s="194"/>
      <c r="H22" s="194"/>
      <c r="I22" s="194"/>
      <c r="J22" s="97"/>
      <c r="K22" s="113"/>
      <c r="L22" s="114"/>
      <c r="M22" s="64"/>
    </row>
    <row r="23" spans="1:13" ht="15" hidden="1" customHeight="1" x14ac:dyDescent="0.25">
      <c r="A23" s="782"/>
      <c r="B23" s="107"/>
      <c r="C23" s="97"/>
      <c r="D23" s="63"/>
      <c r="E23" s="63"/>
      <c r="F23" s="194"/>
      <c r="G23" s="194"/>
      <c r="H23" s="194"/>
      <c r="I23" s="194"/>
      <c r="J23" s="97"/>
      <c r="K23" s="113"/>
      <c r="L23" s="114"/>
      <c r="M23" s="64"/>
    </row>
    <row r="24" spans="1:13" ht="15" hidden="1" customHeight="1" x14ac:dyDescent="0.25">
      <c r="A24" s="782"/>
      <c r="B24" s="107"/>
      <c r="C24" s="107"/>
      <c r="D24" s="63"/>
      <c r="E24" s="63"/>
      <c r="F24" s="118"/>
      <c r="G24" s="118"/>
      <c r="H24" s="118"/>
      <c r="I24" s="118"/>
      <c r="J24" s="119"/>
      <c r="K24" s="120"/>
      <c r="L24" s="65"/>
      <c r="M24" s="72"/>
    </row>
    <row r="25" spans="1:13" ht="15" hidden="1" customHeight="1" x14ac:dyDescent="0.25">
      <c r="A25" s="782"/>
      <c r="B25" s="109"/>
      <c r="C25" s="105"/>
      <c r="D25" s="13"/>
      <c r="E25" s="13"/>
      <c r="F25" s="13"/>
      <c r="G25" s="13"/>
      <c r="H25" s="13"/>
      <c r="I25" s="13"/>
      <c r="J25" s="96"/>
      <c r="K25" s="125"/>
      <c r="L25" s="65"/>
      <c r="M25" s="64"/>
    </row>
    <row r="26" spans="1:13" ht="15" hidden="1" customHeight="1" x14ac:dyDescent="0.25">
      <c r="A26" s="782"/>
      <c r="B26" s="109"/>
      <c r="C26" s="124"/>
      <c r="D26" s="13"/>
      <c r="E26" s="13"/>
      <c r="F26" s="13"/>
      <c r="G26" s="13"/>
      <c r="H26" s="13"/>
      <c r="I26" s="13"/>
      <c r="J26" s="96"/>
      <c r="K26" s="125"/>
      <c r="L26" s="65"/>
      <c r="M26" s="64"/>
    </row>
    <row r="27" spans="1:13" ht="15" hidden="1" customHeight="1" x14ac:dyDescent="0.25">
      <c r="A27" s="782"/>
      <c r="B27" s="107"/>
      <c r="C27" s="124"/>
      <c r="D27" s="63"/>
      <c r="E27" s="63"/>
      <c r="F27" s="63"/>
      <c r="G27" s="63"/>
      <c r="H27" s="63"/>
      <c r="I27" s="63"/>
      <c r="J27" s="96"/>
      <c r="K27" s="125"/>
      <c r="L27" s="65"/>
      <c r="M27" s="64"/>
    </row>
    <row r="28" spans="1:13" ht="15" hidden="1" customHeight="1" x14ac:dyDescent="0.25">
      <c r="A28" s="782"/>
      <c r="B28" s="107"/>
      <c r="C28" s="107"/>
      <c r="D28" s="63"/>
      <c r="E28" s="63"/>
      <c r="F28" s="63"/>
      <c r="G28" s="63"/>
      <c r="H28" s="63"/>
      <c r="I28" s="63"/>
      <c r="J28" s="96"/>
      <c r="K28" s="126"/>
      <c r="L28" s="114"/>
      <c r="M28" s="68"/>
    </row>
    <row r="29" spans="1:13" ht="15" hidden="1" customHeight="1" x14ac:dyDescent="0.25">
      <c r="A29" s="782"/>
      <c r="B29" s="107"/>
      <c r="C29" s="107"/>
      <c r="D29" s="63"/>
      <c r="E29" s="63"/>
      <c r="F29" s="63"/>
      <c r="G29" s="63"/>
      <c r="H29" s="63"/>
      <c r="I29" s="63"/>
      <c r="J29" s="96"/>
      <c r="K29" s="126"/>
      <c r="L29" s="114"/>
      <c r="M29" s="68"/>
    </row>
    <row r="30" spans="1:13" ht="15" hidden="1" customHeight="1" x14ac:dyDescent="0.25">
      <c r="A30" s="782"/>
      <c r="B30" s="107"/>
      <c r="C30" s="107"/>
      <c r="D30" s="63"/>
      <c r="E30" s="63"/>
      <c r="F30" s="63"/>
      <c r="G30" s="63"/>
      <c r="H30" s="63"/>
      <c r="I30" s="63"/>
      <c r="J30" s="96"/>
      <c r="K30" s="126"/>
      <c r="L30" s="114"/>
      <c r="M30" s="68"/>
    </row>
    <row r="31" spans="1:13" ht="15" hidden="1" customHeight="1" x14ac:dyDescent="0.25">
      <c r="A31" s="783"/>
      <c r="B31" s="107"/>
      <c r="C31" s="107"/>
      <c r="D31" s="63"/>
      <c r="E31" s="63"/>
      <c r="F31" s="118"/>
      <c r="G31" s="118"/>
      <c r="H31" s="267"/>
      <c r="I31" s="267"/>
      <c r="J31" s="127"/>
      <c r="K31" s="128"/>
      <c r="L31" s="65"/>
      <c r="M31" s="72"/>
    </row>
    <row r="32" spans="1:13" ht="15" hidden="1" customHeight="1" x14ac:dyDescent="0.25">
      <c r="A32" s="787"/>
      <c r="B32" s="124"/>
      <c r="C32" s="124"/>
      <c r="D32" s="63"/>
      <c r="E32" s="63"/>
      <c r="F32" s="130"/>
      <c r="G32" s="130"/>
      <c r="H32" s="130"/>
      <c r="I32" s="130"/>
      <c r="J32" s="131"/>
      <c r="K32" s="132"/>
      <c r="L32" s="65"/>
      <c r="M32" s="67"/>
    </row>
    <row r="33" spans="1:13" ht="15" hidden="1" customHeight="1" x14ac:dyDescent="0.25">
      <c r="A33" s="789"/>
      <c r="B33" s="133"/>
      <c r="C33" s="133"/>
      <c r="D33" s="63"/>
      <c r="E33" s="13"/>
      <c r="F33" s="272"/>
      <c r="G33" s="272"/>
      <c r="H33" s="272"/>
      <c r="I33" s="272"/>
      <c r="J33" s="272"/>
      <c r="K33" s="132"/>
      <c r="L33" s="65"/>
      <c r="M33" s="71"/>
    </row>
    <row r="34" spans="1:13" x14ac:dyDescent="0.25">
      <c r="A34" s="573" t="s">
        <v>366</v>
      </c>
      <c r="B34" s="124" t="s">
        <v>206</v>
      </c>
      <c r="C34" s="124">
        <v>100</v>
      </c>
      <c r="D34" s="63">
        <v>100</v>
      </c>
      <c r="E34" s="63">
        <v>100</v>
      </c>
      <c r="F34" s="308">
        <v>1.5</v>
      </c>
      <c r="G34" s="308">
        <v>0.5</v>
      </c>
      <c r="H34" s="308">
        <v>21</v>
      </c>
      <c r="I34" s="308">
        <v>96</v>
      </c>
      <c r="J34" s="309">
        <v>10</v>
      </c>
      <c r="K34" s="162" t="s">
        <v>207</v>
      </c>
      <c r="L34" s="65">
        <v>55.58</v>
      </c>
      <c r="M34" s="69">
        <f>SUM(L34*D34)/1000</f>
        <v>5.5579999999999998</v>
      </c>
    </row>
    <row r="35" spans="1:13" x14ac:dyDescent="0.25">
      <c r="A35" s="573"/>
      <c r="B35" s="133"/>
      <c r="C35" s="133"/>
      <c r="D35" s="63"/>
      <c r="E35" s="13"/>
      <c r="F35" s="605"/>
      <c r="G35" s="605"/>
      <c r="H35" s="605"/>
      <c r="I35" s="605"/>
      <c r="J35" s="606"/>
      <c r="K35" s="132"/>
      <c r="L35" s="65"/>
      <c r="M35" s="71"/>
    </row>
    <row r="36" spans="1:13" x14ac:dyDescent="0.25">
      <c r="A36" s="8" t="s">
        <v>27</v>
      </c>
      <c r="B36" s="4"/>
      <c r="C36" s="4"/>
      <c r="D36" s="105"/>
      <c r="E36" s="106"/>
      <c r="F36" s="102"/>
      <c r="G36" s="63"/>
      <c r="H36" s="63"/>
      <c r="I36" s="63"/>
      <c r="J36" s="96"/>
      <c r="K36" s="108"/>
      <c r="L36" s="65"/>
      <c r="M36" s="64"/>
    </row>
    <row r="37" spans="1:13" x14ac:dyDescent="0.25">
      <c r="A37" s="781"/>
      <c r="B37" s="442" t="s">
        <v>83</v>
      </c>
      <c r="C37" s="105" t="s">
        <v>84</v>
      </c>
      <c r="D37" s="13"/>
      <c r="E37" s="13"/>
      <c r="F37" s="107"/>
      <c r="G37" s="107"/>
      <c r="H37" s="107"/>
      <c r="I37" s="107"/>
      <c r="J37" s="96"/>
      <c r="K37" s="125" t="s">
        <v>85</v>
      </c>
      <c r="L37" s="65"/>
      <c r="M37" s="64"/>
    </row>
    <row r="38" spans="1:13" ht="28.5" customHeight="1" x14ac:dyDescent="0.25">
      <c r="A38" s="782"/>
      <c r="B38" s="173" t="s">
        <v>36</v>
      </c>
      <c r="C38" s="96"/>
      <c r="D38" s="63">
        <v>80</v>
      </c>
      <c r="E38" s="63">
        <v>60</v>
      </c>
      <c r="F38" s="63">
        <v>1.2</v>
      </c>
      <c r="G38" s="63">
        <v>0.24</v>
      </c>
      <c r="H38" s="63">
        <v>9.7799999999999994</v>
      </c>
      <c r="I38" s="63">
        <v>46.2</v>
      </c>
      <c r="J38" s="96">
        <v>12</v>
      </c>
      <c r="K38" s="134"/>
      <c r="L38" s="135">
        <v>160</v>
      </c>
      <c r="M38" s="68">
        <f>SUM(L38*D38)/1000</f>
        <v>12.8</v>
      </c>
    </row>
    <row r="39" spans="1:13" x14ac:dyDescent="0.25">
      <c r="A39" s="782"/>
      <c r="B39" s="173" t="s">
        <v>18</v>
      </c>
      <c r="C39" s="96"/>
      <c r="D39" s="63">
        <v>4</v>
      </c>
      <c r="E39" s="63">
        <v>4</v>
      </c>
      <c r="F39" s="63">
        <v>0.372</v>
      </c>
      <c r="G39" s="63">
        <v>4.3999999999999997E-2</v>
      </c>
      <c r="H39" s="63">
        <v>2.948</v>
      </c>
      <c r="I39" s="63">
        <v>12.96</v>
      </c>
      <c r="J39" s="96">
        <v>0</v>
      </c>
      <c r="K39" s="136"/>
      <c r="L39" s="114">
        <v>36</v>
      </c>
      <c r="M39" s="68">
        <f>SUM(L39*D39)/1000</f>
        <v>0.14399999999999999</v>
      </c>
    </row>
    <row r="40" spans="1:13" x14ac:dyDescent="0.25">
      <c r="A40" s="782"/>
      <c r="B40" s="173" t="s">
        <v>59</v>
      </c>
      <c r="C40" s="96"/>
      <c r="D40" s="63">
        <v>10</v>
      </c>
      <c r="E40" s="63">
        <v>8</v>
      </c>
      <c r="F40" s="63">
        <v>0.104</v>
      </c>
      <c r="G40" s="63">
        <v>8.0000000000000002E-3</v>
      </c>
      <c r="H40" s="63">
        <v>0.55200000000000005</v>
      </c>
      <c r="I40" s="63">
        <v>2.8</v>
      </c>
      <c r="J40" s="96">
        <v>0.4</v>
      </c>
      <c r="K40" s="136"/>
      <c r="L40" s="114">
        <v>48</v>
      </c>
      <c r="M40" s="68">
        <f>SUM(L40*D40)/1000</f>
        <v>0.48</v>
      </c>
    </row>
    <row r="41" spans="1:13" x14ac:dyDescent="0.25">
      <c r="A41" s="782"/>
      <c r="B41" s="173" t="s">
        <v>32</v>
      </c>
      <c r="C41" s="96"/>
      <c r="D41" s="63">
        <v>4.8</v>
      </c>
      <c r="E41" s="63">
        <v>4</v>
      </c>
      <c r="F41" s="63">
        <v>5.6000000000000001E-2</v>
      </c>
      <c r="G41" s="63">
        <v>8.0000000000000002E-3</v>
      </c>
      <c r="H41" s="63">
        <v>0.32800000000000001</v>
      </c>
      <c r="I41" s="63">
        <v>1.64</v>
      </c>
      <c r="J41" s="96">
        <v>0.4</v>
      </c>
      <c r="K41" s="136"/>
      <c r="L41" s="114">
        <v>36</v>
      </c>
      <c r="M41" s="68">
        <f>SUM(L41*D41)/1000</f>
        <v>0.17279999999999998</v>
      </c>
    </row>
    <row r="42" spans="1:13" x14ac:dyDescent="0.25">
      <c r="A42" s="782"/>
      <c r="B42" s="173" t="s">
        <v>87</v>
      </c>
      <c r="C42" s="96"/>
      <c r="D42" s="63">
        <v>13.4</v>
      </c>
      <c r="E42" s="63">
        <v>12</v>
      </c>
      <c r="F42" s="63">
        <v>9.6000000000000002E-2</v>
      </c>
      <c r="G42" s="63">
        <v>1.2E-2</v>
      </c>
      <c r="H42" s="63">
        <v>0.20399999999999999</v>
      </c>
      <c r="I42" s="63">
        <v>1.56</v>
      </c>
      <c r="J42" s="96">
        <v>0.6</v>
      </c>
      <c r="K42" s="136"/>
      <c r="L42" s="114">
        <v>33</v>
      </c>
      <c r="M42" s="68">
        <f>SUM(L42*D42)/1000</f>
        <v>0.44219999999999998</v>
      </c>
    </row>
    <row r="43" spans="1:13" x14ac:dyDescent="0.25">
      <c r="A43" s="782"/>
      <c r="B43" s="173" t="s">
        <v>37</v>
      </c>
      <c r="C43" s="96"/>
      <c r="D43" s="63">
        <v>4</v>
      </c>
      <c r="E43" s="63">
        <v>4</v>
      </c>
      <c r="F43" s="63">
        <v>0</v>
      </c>
      <c r="G43" s="63">
        <v>3.996</v>
      </c>
      <c r="H43" s="63">
        <v>0</v>
      </c>
      <c r="I43" s="63">
        <v>35.96</v>
      </c>
      <c r="J43" s="96">
        <v>0</v>
      </c>
      <c r="K43" s="136"/>
      <c r="L43" s="114"/>
      <c r="M43" s="68"/>
    </row>
    <row r="44" spans="1:13" x14ac:dyDescent="0.25">
      <c r="A44" s="782"/>
      <c r="B44" s="173" t="s">
        <v>19</v>
      </c>
      <c r="C44" s="96"/>
      <c r="D44" s="63">
        <v>150</v>
      </c>
      <c r="E44" s="63">
        <v>150</v>
      </c>
      <c r="F44" s="63">
        <v>0</v>
      </c>
      <c r="G44" s="63">
        <v>0</v>
      </c>
      <c r="H44" s="63">
        <v>0</v>
      </c>
      <c r="I44" s="63">
        <v>0</v>
      </c>
      <c r="J44" s="96">
        <v>0</v>
      </c>
      <c r="K44" s="136"/>
      <c r="L44" s="114">
        <v>0</v>
      </c>
      <c r="M44" s="68">
        <f>SUM(L44*D44)/1000</f>
        <v>0</v>
      </c>
    </row>
    <row r="45" spans="1:13" x14ac:dyDescent="0.25">
      <c r="A45" s="782"/>
      <c r="B45" s="173" t="s">
        <v>22</v>
      </c>
      <c r="C45" s="96"/>
      <c r="D45" s="63">
        <v>1.2</v>
      </c>
      <c r="E45" s="63">
        <v>1.2</v>
      </c>
      <c r="F45" s="63">
        <v>0</v>
      </c>
      <c r="G45" s="63">
        <v>0</v>
      </c>
      <c r="H45" s="63">
        <v>0</v>
      </c>
      <c r="I45" s="63">
        <v>0</v>
      </c>
      <c r="J45" s="96">
        <v>0</v>
      </c>
      <c r="K45" s="136"/>
      <c r="L45" s="114">
        <v>16</v>
      </c>
      <c r="M45" s="68">
        <f>SUM(L45*D45)/1000</f>
        <v>1.9199999999999998E-2</v>
      </c>
    </row>
    <row r="46" spans="1:13" x14ac:dyDescent="0.25">
      <c r="A46" s="782"/>
      <c r="B46" s="173" t="s">
        <v>62</v>
      </c>
      <c r="C46" s="101"/>
      <c r="D46" s="63">
        <v>4</v>
      </c>
      <c r="E46" s="63">
        <v>4</v>
      </c>
      <c r="F46" s="63">
        <v>0.1</v>
      </c>
      <c r="G46" s="63">
        <v>0.6</v>
      </c>
      <c r="H46" s="63">
        <v>0.13600000000000001</v>
      </c>
      <c r="I46" s="63">
        <v>8.24</v>
      </c>
      <c r="J46" s="96">
        <v>1.2E-2</v>
      </c>
      <c r="K46" s="136"/>
      <c r="L46" s="114"/>
      <c r="M46" s="68"/>
    </row>
    <row r="47" spans="1:13" x14ac:dyDescent="0.25">
      <c r="A47" s="782"/>
      <c r="C47" s="117"/>
      <c r="D47" s="205"/>
      <c r="E47" s="205"/>
      <c r="F47" s="206">
        <f>SUM(F38:F46)</f>
        <v>1.9280000000000004</v>
      </c>
      <c r="G47" s="206">
        <f t="shared" ref="G47:J47" si="1">SUM(G38:G46)</f>
        <v>4.9079999999999995</v>
      </c>
      <c r="H47" s="206">
        <f t="shared" si="1"/>
        <v>13.947999999999999</v>
      </c>
      <c r="I47" s="206">
        <f t="shared" si="1"/>
        <v>109.36</v>
      </c>
      <c r="J47" s="206">
        <f t="shared" si="1"/>
        <v>13.412000000000001</v>
      </c>
      <c r="K47" s="120"/>
      <c r="L47" s="65"/>
      <c r="M47" s="72">
        <f>SUM(M38:M45)</f>
        <v>14.058200000000001</v>
      </c>
    </row>
    <row r="48" spans="1:13" ht="15" customHeight="1" x14ac:dyDescent="0.25">
      <c r="A48" s="782"/>
      <c r="B48" s="351" t="s">
        <v>251</v>
      </c>
      <c r="C48" s="339">
        <v>120</v>
      </c>
      <c r="D48" s="340"/>
      <c r="E48" s="340"/>
      <c r="F48" s="417">
        <f>F49+F50+F51+F52+F53+F54+F55+F56+F57</f>
        <v>12.527600000000001</v>
      </c>
      <c r="G48" s="417">
        <f>G49+G50+G51+G52+G53+G54+G55+G56+G57</f>
        <v>6.6636000000000006</v>
      </c>
      <c r="H48" s="417">
        <f>H49+H50+H51+H52+H53+H54+H55+H56+H57</f>
        <v>5.8659999999999997</v>
      </c>
      <c r="I48" s="417">
        <f>I49+I50+I51+I52+I53+I54+I55+I56+I57</f>
        <v>134.41999999999999</v>
      </c>
      <c r="J48" s="419">
        <f>J49+J50+J51+J52+J53+J54+J55+J56+J57</f>
        <v>4.42</v>
      </c>
      <c r="K48" s="481" t="s">
        <v>313</v>
      </c>
      <c r="L48" s="114"/>
      <c r="M48" s="68"/>
    </row>
    <row r="49" spans="1:13" x14ac:dyDescent="0.25">
      <c r="A49" s="782"/>
      <c r="B49" s="353" t="s">
        <v>252</v>
      </c>
      <c r="C49" s="354"/>
      <c r="D49" s="340">
        <v>147.6</v>
      </c>
      <c r="E49" s="340">
        <v>74.400000000000006</v>
      </c>
      <c r="F49" s="340">
        <f>E49*15.9/100</f>
        <v>11.829600000000001</v>
      </c>
      <c r="G49" s="340">
        <f>0.9*E49/100</f>
        <v>0.66960000000000008</v>
      </c>
      <c r="H49" s="340">
        <v>0</v>
      </c>
      <c r="I49" s="340">
        <f>72*E49/100</f>
        <v>53.568000000000005</v>
      </c>
      <c r="J49" s="346">
        <v>0</v>
      </c>
      <c r="K49" s="480"/>
      <c r="L49" s="65"/>
      <c r="M49" s="64"/>
    </row>
    <row r="50" spans="1:13" ht="15" customHeight="1" x14ac:dyDescent="0.25">
      <c r="A50" s="782"/>
      <c r="B50" s="353" t="s">
        <v>229</v>
      </c>
      <c r="C50" s="354"/>
      <c r="D50" s="340">
        <v>22.8</v>
      </c>
      <c r="E50" s="340">
        <v>22.8</v>
      </c>
      <c r="F50" s="340">
        <v>0</v>
      </c>
      <c r="G50" s="340">
        <v>0</v>
      </c>
      <c r="H50" s="340">
        <v>0</v>
      </c>
      <c r="I50" s="340">
        <v>0</v>
      </c>
      <c r="J50" s="346">
        <v>0</v>
      </c>
      <c r="K50" s="480"/>
      <c r="L50" s="65">
        <v>215.64</v>
      </c>
      <c r="M50" s="68">
        <f>SUM(L50*D50)/1000</f>
        <v>4.9165919999999996</v>
      </c>
    </row>
    <row r="51" spans="1:13" x14ac:dyDescent="0.25">
      <c r="A51" s="782"/>
      <c r="B51" s="353" t="s">
        <v>238</v>
      </c>
      <c r="C51" s="343"/>
      <c r="D51" s="340">
        <v>32.4</v>
      </c>
      <c r="E51" s="340">
        <v>25.2</v>
      </c>
      <c r="F51" s="340">
        <f>1.3*E51/100</f>
        <v>0.3276</v>
      </c>
      <c r="G51" s="340">
        <v>0</v>
      </c>
      <c r="H51" s="340">
        <f>6.9*E51/100</f>
        <v>1.7387999999999999</v>
      </c>
      <c r="I51" s="340">
        <f>35*E51/100</f>
        <v>8.82</v>
      </c>
      <c r="J51" s="346">
        <v>1.26</v>
      </c>
      <c r="K51" s="480"/>
      <c r="L51" s="65">
        <v>0</v>
      </c>
      <c r="M51" s="68">
        <f>SUM(L51*D51)/1000</f>
        <v>0</v>
      </c>
    </row>
    <row r="52" spans="1:13" x14ac:dyDescent="0.25">
      <c r="A52" s="782"/>
      <c r="B52" s="353" t="s">
        <v>239</v>
      </c>
      <c r="C52" s="354"/>
      <c r="D52" s="340">
        <v>14.4</v>
      </c>
      <c r="E52" s="340">
        <v>11</v>
      </c>
      <c r="F52" s="340">
        <v>0.14000000000000001</v>
      </c>
      <c r="G52" s="340">
        <v>0</v>
      </c>
      <c r="H52" s="340">
        <v>0.82</v>
      </c>
      <c r="I52" s="340">
        <v>4.0999999999999996</v>
      </c>
      <c r="J52" s="346">
        <v>1</v>
      </c>
      <c r="K52" s="480"/>
      <c r="L52" s="114">
        <v>35</v>
      </c>
      <c r="M52" s="68">
        <f>SUM(L52*D52)/1000</f>
        <v>0.504</v>
      </c>
    </row>
    <row r="53" spans="1:13" x14ac:dyDescent="0.25">
      <c r="A53" s="782"/>
      <c r="B53" s="353" t="s">
        <v>240</v>
      </c>
      <c r="C53" s="354"/>
      <c r="D53" s="340">
        <v>4.8</v>
      </c>
      <c r="E53" s="340">
        <v>4.8</v>
      </c>
      <c r="F53" s="340">
        <f>4.8*E53/100</f>
        <v>0.23039999999999999</v>
      </c>
      <c r="G53" s="340">
        <v>0</v>
      </c>
      <c r="H53" s="340">
        <f>19*E53/100</f>
        <v>0.91200000000000003</v>
      </c>
      <c r="I53" s="340">
        <f>102*E53/100</f>
        <v>4.8959999999999999</v>
      </c>
      <c r="J53" s="346">
        <v>2.16</v>
      </c>
      <c r="K53" s="480"/>
      <c r="L53" s="114">
        <v>43.22</v>
      </c>
      <c r="M53" s="68">
        <f>SUM(L53*D53)/1000</f>
        <v>0.207456</v>
      </c>
    </row>
    <row r="54" spans="1:13" x14ac:dyDescent="0.25">
      <c r="A54" s="782"/>
      <c r="B54" s="353" t="s">
        <v>241</v>
      </c>
      <c r="C54" s="372"/>
      <c r="D54" s="340">
        <v>6</v>
      </c>
      <c r="E54" s="340">
        <v>6</v>
      </c>
      <c r="F54" s="340">
        <v>0</v>
      </c>
      <c r="G54" s="340">
        <f>99.9*E54/100</f>
        <v>5.9940000000000007</v>
      </c>
      <c r="H54" s="340">
        <v>0</v>
      </c>
      <c r="I54" s="340">
        <f>899*E54/100</f>
        <v>53.94</v>
      </c>
      <c r="J54" s="346">
        <v>0</v>
      </c>
      <c r="K54" s="480"/>
      <c r="L54" s="114">
        <v>4.6989999999999998</v>
      </c>
      <c r="M54" s="68">
        <f>SUM(D54*L54)/40</f>
        <v>0.70484999999999998</v>
      </c>
    </row>
    <row r="55" spans="1:13" x14ac:dyDescent="0.25">
      <c r="A55" s="782"/>
      <c r="B55" s="353" t="s">
        <v>230</v>
      </c>
      <c r="C55" s="339"/>
      <c r="D55" s="340">
        <v>2.4</v>
      </c>
      <c r="E55" s="340">
        <v>2.4</v>
      </c>
      <c r="F55" s="340">
        <v>0</v>
      </c>
      <c r="G55" s="340">
        <v>0</v>
      </c>
      <c r="H55" s="347">
        <f>99.8*E55/100</f>
        <v>2.3952</v>
      </c>
      <c r="I55" s="347">
        <f>379*E55/100</f>
        <v>9.0960000000000001</v>
      </c>
      <c r="J55" s="349">
        <v>0</v>
      </c>
      <c r="K55" s="480"/>
      <c r="L55" s="114">
        <v>376.98</v>
      </c>
      <c r="M55" s="68">
        <f>SUM(L55*D55)/1000</f>
        <v>0.90475200000000011</v>
      </c>
    </row>
    <row r="56" spans="1:13" x14ac:dyDescent="0.25">
      <c r="A56" s="782"/>
      <c r="B56" s="353" t="s">
        <v>231</v>
      </c>
      <c r="C56" s="343"/>
      <c r="D56" s="340">
        <v>1.7</v>
      </c>
      <c r="E56" s="340">
        <v>1.7</v>
      </c>
      <c r="F56" s="340">
        <v>0</v>
      </c>
      <c r="G56" s="340">
        <v>0</v>
      </c>
      <c r="H56" s="340">
        <v>0</v>
      </c>
      <c r="I56" s="340">
        <v>0</v>
      </c>
      <c r="J56" s="346">
        <v>0</v>
      </c>
      <c r="K56" s="480"/>
      <c r="L56" s="114">
        <v>16.62</v>
      </c>
      <c r="M56" s="68">
        <f>SUM(L56*D56)/1000</f>
        <v>2.8254000000000001E-2</v>
      </c>
    </row>
    <row r="57" spans="1:13" x14ac:dyDescent="0.25">
      <c r="A57" s="782"/>
      <c r="B57" s="353" t="s">
        <v>242</v>
      </c>
      <c r="C57" s="343"/>
      <c r="D57" s="340">
        <v>0.01</v>
      </c>
      <c r="E57" s="340">
        <v>0.01</v>
      </c>
      <c r="F57" s="340">
        <v>0</v>
      </c>
      <c r="G57" s="340">
        <v>0</v>
      </c>
      <c r="H57" s="340">
        <v>0</v>
      </c>
      <c r="I57" s="340">
        <v>0</v>
      </c>
      <c r="J57" s="346">
        <v>0</v>
      </c>
      <c r="K57" s="480"/>
      <c r="L57" s="114">
        <v>0</v>
      </c>
      <c r="M57" s="68">
        <v>0</v>
      </c>
    </row>
    <row r="58" spans="1:13" x14ac:dyDescent="0.25">
      <c r="A58" s="782"/>
      <c r="B58" s="529" t="s">
        <v>89</v>
      </c>
      <c r="C58" s="124">
        <v>150</v>
      </c>
      <c r="D58" s="13"/>
      <c r="E58" s="13"/>
      <c r="F58" s="63"/>
      <c r="G58" s="63"/>
      <c r="H58" s="63"/>
      <c r="I58" s="63"/>
      <c r="J58" s="96"/>
      <c r="K58" s="155" t="s">
        <v>90</v>
      </c>
      <c r="L58" s="65"/>
      <c r="M58" s="64"/>
    </row>
    <row r="59" spans="1:13" x14ac:dyDescent="0.25">
      <c r="A59" s="782"/>
      <c r="B59" s="107" t="s">
        <v>91</v>
      </c>
      <c r="C59" s="107"/>
      <c r="D59" s="63">
        <v>171</v>
      </c>
      <c r="E59" s="63">
        <v>128.30000000000001</v>
      </c>
      <c r="F59" s="63">
        <v>2.54</v>
      </c>
      <c r="G59" s="63">
        <v>0.50800000000000001</v>
      </c>
      <c r="H59" s="63">
        <v>20.701000000000001</v>
      </c>
      <c r="I59" s="63">
        <v>97.79</v>
      </c>
      <c r="J59" s="96">
        <v>25.4</v>
      </c>
      <c r="K59" s="152"/>
      <c r="L59" s="114">
        <v>21.89</v>
      </c>
      <c r="M59" s="68">
        <f>SUM(L59*D59)/1000</f>
        <v>3.7431900000000002</v>
      </c>
    </row>
    <row r="60" spans="1:13" x14ac:dyDescent="0.25">
      <c r="A60" s="782"/>
      <c r="B60" s="107" t="s">
        <v>44</v>
      </c>
      <c r="C60" s="107"/>
      <c r="D60" s="63">
        <v>23.7</v>
      </c>
      <c r="E60" s="63" t="s">
        <v>92</v>
      </c>
      <c r="F60" s="63">
        <v>0.63</v>
      </c>
      <c r="G60" s="63">
        <v>0.72</v>
      </c>
      <c r="H60" s="63">
        <v>1.0575000000000001</v>
      </c>
      <c r="I60" s="63">
        <v>13.05</v>
      </c>
      <c r="J60" s="96">
        <v>0.29249999999999998</v>
      </c>
      <c r="K60" s="152"/>
      <c r="L60" s="114">
        <v>43.22</v>
      </c>
      <c r="M60" s="68">
        <f>SUM(L60*D60)/1000</f>
        <v>1.0243139999999999</v>
      </c>
    </row>
    <row r="61" spans="1:13" x14ac:dyDescent="0.25">
      <c r="A61" s="782"/>
      <c r="B61" s="107" t="s">
        <v>21</v>
      </c>
      <c r="C61" s="107"/>
      <c r="D61" s="63">
        <v>5.3</v>
      </c>
      <c r="E61" s="63">
        <v>5.3</v>
      </c>
      <c r="F61" s="63">
        <v>4.24E-2</v>
      </c>
      <c r="G61" s="63">
        <v>3.8424999999999998</v>
      </c>
      <c r="H61" s="63">
        <v>6.8900000000000003E-2</v>
      </c>
      <c r="I61" s="63">
        <v>35.033000000000001</v>
      </c>
      <c r="J61" s="96">
        <v>0</v>
      </c>
      <c r="K61" s="152"/>
      <c r="L61" s="114">
        <v>376.98</v>
      </c>
      <c r="M61" s="68">
        <f>SUM(L61*D61)/1000</f>
        <v>1.997994</v>
      </c>
    </row>
    <row r="62" spans="1:13" x14ac:dyDescent="0.25">
      <c r="A62" s="782"/>
      <c r="B62" s="107" t="s">
        <v>22</v>
      </c>
      <c r="C62" s="107"/>
      <c r="D62" s="63">
        <v>1.5</v>
      </c>
      <c r="E62" s="63">
        <v>1.5</v>
      </c>
      <c r="F62" s="63">
        <v>0</v>
      </c>
      <c r="G62" s="63">
        <v>0</v>
      </c>
      <c r="H62" s="63">
        <v>0</v>
      </c>
      <c r="I62" s="63">
        <v>0</v>
      </c>
      <c r="J62" s="96">
        <v>0</v>
      </c>
      <c r="K62" s="126"/>
      <c r="L62" s="114">
        <v>16.62</v>
      </c>
      <c r="M62" s="68">
        <f>SUM(L62*D62)/1000</f>
        <v>2.4930000000000001E-2</v>
      </c>
    </row>
    <row r="63" spans="1:13" x14ac:dyDescent="0.25">
      <c r="A63" s="782"/>
      <c r="B63" s="213"/>
      <c r="C63" s="216"/>
      <c r="D63" s="100"/>
      <c r="E63" s="100"/>
      <c r="F63" s="192">
        <f>SUM(F59:F62)</f>
        <v>3.2124000000000001</v>
      </c>
      <c r="G63" s="192">
        <f>SUM(G59:G62)</f>
        <v>5.0705</v>
      </c>
      <c r="H63" s="192">
        <f>SUM(H59:H62)</f>
        <v>21.827400000000001</v>
      </c>
      <c r="I63" s="192">
        <f>SUM(I59:I62)</f>
        <v>145.87299999999999</v>
      </c>
      <c r="J63" s="193">
        <f>SUM(J59:J62)</f>
        <v>25.692499999999999</v>
      </c>
      <c r="K63" s="156"/>
      <c r="L63" s="65"/>
      <c r="M63" s="72">
        <f>SUM(M59:M62)</f>
        <v>6.7904280000000012</v>
      </c>
    </row>
    <row r="64" spans="1:13" ht="21" customHeight="1" x14ac:dyDescent="0.25">
      <c r="A64" s="782"/>
      <c r="B64" s="138" t="s">
        <v>180</v>
      </c>
      <c r="C64" s="124">
        <v>180</v>
      </c>
      <c r="D64" s="13"/>
      <c r="E64" s="13"/>
      <c r="F64" s="63"/>
      <c r="G64" s="63"/>
      <c r="H64" s="63"/>
      <c r="I64" s="63"/>
      <c r="J64" s="96"/>
      <c r="K64" s="108" t="s">
        <v>181</v>
      </c>
      <c r="L64" s="65"/>
      <c r="M64" s="68"/>
    </row>
    <row r="65" spans="1:13" x14ac:dyDescent="0.25">
      <c r="A65" s="782"/>
      <c r="B65" s="107" t="s">
        <v>182</v>
      </c>
      <c r="C65" s="107"/>
      <c r="D65" s="63">
        <v>18</v>
      </c>
      <c r="E65" s="63" t="s">
        <v>183</v>
      </c>
      <c r="F65" s="63">
        <v>0.93600000000000005</v>
      </c>
      <c r="G65" s="63">
        <v>5.3999999999999999E-2</v>
      </c>
      <c r="H65" s="63">
        <v>9.18</v>
      </c>
      <c r="I65" s="63">
        <v>41.76</v>
      </c>
      <c r="J65" s="96">
        <v>0.72</v>
      </c>
      <c r="K65" s="136"/>
      <c r="L65" s="114">
        <v>100</v>
      </c>
      <c r="M65" s="68">
        <f>SUM(L65*D65)/1000</f>
        <v>1.8</v>
      </c>
    </row>
    <row r="66" spans="1:13" x14ac:dyDescent="0.25">
      <c r="A66" s="782"/>
      <c r="B66" s="107" t="s">
        <v>38</v>
      </c>
      <c r="C66" s="107"/>
      <c r="D66" s="63">
        <v>14.4</v>
      </c>
      <c r="E66" s="63">
        <v>14.4</v>
      </c>
      <c r="F66" s="63">
        <v>0</v>
      </c>
      <c r="G66" s="63">
        <v>0</v>
      </c>
      <c r="H66" s="63">
        <v>14.371</v>
      </c>
      <c r="I66" s="63">
        <v>54.576000000000001</v>
      </c>
      <c r="J66" s="96">
        <v>0</v>
      </c>
      <c r="K66" s="136"/>
      <c r="L66" s="114">
        <v>50.7</v>
      </c>
      <c r="M66" s="68">
        <f>SUM(L66*D66)/1000</f>
        <v>0.73008000000000006</v>
      </c>
    </row>
    <row r="67" spans="1:13" x14ac:dyDescent="0.25">
      <c r="A67" s="782"/>
      <c r="B67" s="107" t="s">
        <v>19</v>
      </c>
      <c r="C67" s="107"/>
      <c r="D67" s="63">
        <v>182.7</v>
      </c>
      <c r="E67" s="63">
        <v>182.7</v>
      </c>
      <c r="F67" s="63">
        <v>0</v>
      </c>
      <c r="G67" s="63">
        <v>0</v>
      </c>
      <c r="H67" s="63">
        <v>0</v>
      </c>
      <c r="I67" s="63">
        <v>0</v>
      </c>
      <c r="J67" s="96">
        <v>0</v>
      </c>
      <c r="K67" s="136"/>
      <c r="L67" s="114">
        <v>0</v>
      </c>
      <c r="M67" s="68">
        <f>SUM(L67*D67)/1000</f>
        <v>0</v>
      </c>
    </row>
    <row r="68" spans="1:13" x14ac:dyDescent="0.25">
      <c r="A68" s="782"/>
      <c r="B68" s="107"/>
      <c r="C68" s="107"/>
      <c r="D68" s="63"/>
      <c r="E68" s="63"/>
      <c r="F68" s="118">
        <f>SUM(F65:F67)</f>
        <v>0.93600000000000005</v>
      </c>
      <c r="G68" s="118">
        <f>SUM(G65:G67)</f>
        <v>5.3999999999999999E-2</v>
      </c>
      <c r="H68" s="118">
        <f>SUM(H65:H67)</f>
        <v>23.551000000000002</v>
      </c>
      <c r="I68" s="118">
        <f>SUM(I65:I67)</f>
        <v>96.335999999999999</v>
      </c>
      <c r="J68" s="118">
        <f>SUM(J65:J67)</f>
        <v>0.72</v>
      </c>
      <c r="K68" s="153"/>
      <c r="L68" s="47"/>
      <c r="M68" s="72">
        <f>SUM(M65:M67)</f>
        <v>2.5300799999999999</v>
      </c>
    </row>
    <row r="69" spans="1:13" x14ac:dyDescent="0.25">
      <c r="A69" s="782"/>
      <c r="B69" s="529" t="s">
        <v>40</v>
      </c>
      <c r="C69" s="124">
        <v>70</v>
      </c>
      <c r="D69" s="63">
        <v>70</v>
      </c>
      <c r="E69" s="63">
        <v>70</v>
      </c>
      <c r="F69" s="118">
        <v>3.85</v>
      </c>
      <c r="G69" s="118">
        <v>1.5</v>
      </c>
      <c r="H69" s="118">
        <v>24.9</v>
      </c>
      <c r="I69" s="118">
        <v>131</v>
      </c>
      <c r="J69" s="139">
        <v>0</v>
      </c>
      <c r="K69" s="153" t="s">
        <v>73</v>
      </c>
      <c r="L69" s="114">
        <v>35</v>
      </c>
      <c r="M69" s="72">
        <f>SUM(L69*D69)/1000</f>
        <v>2.4500000000000002</v>
      </c>
    </row>
    <row r="70" spans="1:13" x14ac:dyDescent="0.25">
      <c r="A70" s="783"/>
      <c r="B70" s="124" t="s">
        <v>74</v>
      </c>
      <c r="C70" s="227"/>
      <c r="D70" s="102"/>
      <c r="E70" s="63"/>
      <c r="F70" s="273">
        <f>F47+F63+F68+F69</f>
        <v>9.926400000000001</v>
      </c>
      <c r="G70" s="273">
        <f>G47++G48+G63+G68+G69</f>
        <v>18.196099999999998</v>
      </c>
      <c r="H70" s="273">
        <f>H47+H48+H63+H68+H69</f>
        <v>90.092399999999998</v>
      </c>
      <c r="I70" s="273">
        <f>SUM(I47+I48+I63+I68+I69)</f>
        <v>616.98900000000003</v>
      </c>
      <c r="J70" s="273">
        <f t="shared" ref="J70" si="2">SUM(J47+J48+J63+J68+J69)</f>
        <v>44.244500000000002</v>
      </c>
      <c r="K70" s="158"/>
      <c r="L70" s="65"/>
      <c r="M70" s="273">
        <f>SUM(M47+M48+M63+M68+M69)</f>
        <v>25.828708000000002</v>
      </c>
    </row>
    <row r="71" spans="1:13" x14ac:dyDescent="0.25">
      <c r="A71" s="8" t="s">
        <v>42</v>
      </c>
      <c r="B71" s="4"/>
      <c r="C71" s="4"/>
      <c r="D71" s="105"/>
      <c r="E71" s="106"/>
      <c r="F71" s="102"/>
      <c r="G71" s="63"/>
      <c r="H71" s="63"/>
      <c r="I71" s="63"/>
      <c r="J71" s="96"/>
      <c r="K71" s="108"/>
      <c r="L71" s="65"/>
      <c r="M71" s="64"/>
    </row>
    <row r="72" spans="1:13" x14ac:dyDescent="0.25">
      <c r="A72" s="781"/>
      <c r="B72" s="529" t="s">
        <v>394</v>
      </c>
      <c r="C72" s="124">
        <v>50</v>
      </c>
      <c r="D72" s="63"/>
      <c r="E72" s="13"/>
      <c r="F72" s="13"/>
      <c r="G72" s="13"/>
      <c r="H72" s="13"/>
      <c r="I72" s="13"/>
      <c r="J72" s="96"/>
      <c r="K72" s="125" t="s">
        <v>73</v>
      </c>
      <c r="L72" s="65"/>
      <c r="M72" s="64"/>
    </row>
    <row r="73" spans="1:13" x14ac:dyDescent="0.25">
      <c r="A73" s="782"/>
      <c r="B73" s="107"/>
      <c r="C73" s="107"/>
      <c r="D73" s="63"/>
      <c r="E73" s="63"/>
      <c r="F73" s="206"/>
      <c r="G73" s="206"/>
      <c r="H73" s="206"/>
      <c r="I73" s="206"/>
      <c r="J73" s="206"/>
      <c r="K73" s="153"/>
      <c r="L73" s="65"/>
      <c r="M73" s="72" t="e">
        <f>SUM(#REF!)</f>
        <v>#REF!</v>
      </c>
    </row>
    <row r="74" spans="1:13" ht="15" hidden="1" customHeight="1" x14ac:dyDescent="0.25">
      <c r="A74" s="783"/>
      <c r="B74" s="124" t="s">
        <v>46</v>
      </c>
      <c r="C74" s="124"/>
      <c r="D74" s="13"/>
      <c r="E74" s="13"/>
      <c r="F74" s="142"/>
      <c r="G74" s="142"/>
      <c r="H74" s="142"/>
      <c r="I74" s="142"/>
      <c r="J74" s="142"/>
      <c r="K74" s="129"/>
      <c r="L74" s="65"/>
      <c r="M74" s="71"/>
    </row>
    <row r="75" spans="1:13" ht="15" hidden="1" customHeight="1" x14ac:dyDescent="0.25">
      <c r="A75" s="9" t="s">
        <v>47</v>
      </c>
      <c r="B75" s="145"/>
      <c r="C75" s="145"/>
      <c r="D75" s="105"/>
      <c r="E75" s="106"/>
      <c r="F75" s="63"/>
      <c r="G75" s="63"/>
      <c r="H75" s="63"/>
      <c r="I75" s="63"/>
      <c r="J75" s="107"/>
      <c r="K75" s="108"/>
      <c r="L75" s="65"/>
      <c r="M75" s="64"/>
    </row>
    <row r="76" spans="1:13" ht="15" hidden="1" customHeight="1" x14ac:dyDescent="0.25">
      <c r="A76" s="781"/>
      <c r="B76" s="109" t="s">
        <v>115</v>
      </c>
      <c r="C76" s="124"/>
      <c r="D76" s="13"/>
      <c r="E76" s="13"/>
      <c r="F76" s="13"/>
      <c r="G76" s="13"/>
      <c r="H76" s="13"/>
      <c r="I76" s="13"/>
      <c r="J76" s="107"/>
      <c r="K76" s="125"/>
      <c r="L76" s="65"/>
      <c r="M76" s="64"/>
    </row>
    <row r="77" spans="1:13" ht="15" hidden="1" customHeight="1" x14ac:dyDescent="0.25">
      <c r="A77" s="782"/>
      <c r="B77" s="107" t="s">
        <v>40</v>
      </c>
      <c r="C77" s="107"/>
      <c r="D77" s="63"/>
      <c r="E77" s="63"/>
      <c r="F77" s="63"/>
      <c r="G77" s="63"/>
      <c r="H77" s="63"/>
      <c r="I77" s="63"/>
      <c r="J77" s="96"/>
      <c r="K77" s="126"/>
      <c r="L77" s="114"/>
      <c r="M77" s="68"/>
    </row>
    <row r="78" spans="1:13" ht="15" hidden="1" customHeight="1" x14ac:dyDescent="0.25">
      <c r="A78" s="782"/>
      <c r="B78" s="107" t="s">
        <v>76</v>
      </c>
      <c r="C78" s="107"/>
      <c r="D78" s="63"/>
      <c r="E78" s="63"/>
      <c r="F78" s="63"/>
      <c r="G78" s="63"/>
      <c r="H78" s="63"/>
      <c r="I78" s="63"/>
      <c r="J78" s="96"/>
      <c r="K78" s="126"/>
      <c r="L78" s="114"/>
      <c r="M78" s="68"/>
    </row>
    <row r="79" spans="1:13" ht="15" hidden="1" customHeight="1" x14ac:dyDescent="0.25">
      <c r="A79" s="782"/>
      <c r="B79" s="107"/>
      <c r="C79" s="107"/>
      <c r="D79" s="63"/>
      <c r="E79" s="63"/>
      <c r="F79" s="118"/>
      <c r="G79" s="118"/>
      <c r="H79" s="118"/>
      <c r="I79" s="118"/>
      <c r="J79" s="118"/>
      <c r="K79" s="128"/>
      <c r="L79" s="65"/>
      <c r="M79" s="72"/>
    </row>
    <row r="80" spans="1:13" x14ac:dyDescent="0.25">
      <c r="A80" s="782"/>
      <c r="B80" s="109" t="s">
        <v>72</v>
      </c>
      <c r="C80" s="105" t="s">
        <v>187</v>
      </c>
      <c r="D80" s="13"/>
      <c r="E80" s="13"/>
      <c r="F80" s="13"/>
      <c r="G80" s="13"/>
      <c r="H80" s="13"/>
      <c r="I80" s="13"/>
      <c r="J80" s="96"/>
      <c r="K80" s="125" t="s">
        <v>188</v>
      </c>
      <c r="L80" s="65"/>
      <c r="M80" s="64"/>
    </row>
    <row r="81" spans="1:13" x14ac:dyDescent="0.25">
      <c r="A81" s="782"/>
      <c r="B81" s="109" t="s">
        <v>184</v>
      </c>
      <c r="C81" s="124"/>
      <c r="D81" s="13">
        <v>30</v>
      </c>
      <c r="E81" s="13">
        <v>30</v>
      </c>
      <c r="F81" s="13"/>
      <c r="G81" s="13"/>
      <c r="H81" s="13"/>
      <c r="I81" s="13"/>
      <c r="J81" s="96"/>
      <c r="K81" s="125"/>
      <c r="L81" s="65"/>
      <c r="M81" s="64"/>
    </row>
    <row r="82" spans="1:13" x14ac:dyDescent="0.25">
      <c r="A82" s="782"/>
      <c r="B82" s="107" t="s">
        <v>120</v>
      </c>
      <c r="C82" s="124"/>
      <c r="D82" s="63">
        <v>32.4</v>
      </c>
      <c r="E82" s="63">
        <v>32.4</v>
      </c>
      <c r="F82" s="63">
        <v>0</v>
      </c>
      <c r="G82" s="63">
        <v>0</v>
      </c>
      <c r="H82" s="63">
        <v>0</v>
      </c>
      <c r="I82" s="63">
        <v>0</v>
      </c>
      <c r="J82" s="96">
        <v>0</v>
      </c>
      <c r="K82" s="125"/>
      <c r="L82" s="65">
        <v>0</v>
      </c>
      <c r="M82" s="68">
        <f>SUM(L82*D82)/1000</f>
        <v>0</v>
      </c>
    </row>
    <row r="83" spans="1:13" x14ac:dyDescent="0.25">
      <c r="A83" s="782"/>
      <c r="B83" s="107" t="s">
        <v>185</v>
      </c>
      <c r="C83" s="107"/>
      <c r="D83" s="63">
        <v>0.3</v>
      </c>
      <c r="E83" s="63">
        <v>0.3</v>
      </c>
      <c r="F83" s="63">
        <v>0.06</v>
      </c>
      <c r="G83" s="63">
        <v>0</v>
      </c>
      <c r="H83" s="63">
        <v>2.07E-2</v>
      </c>
      <c r="I83" s="63">
        <v>0.45540000000000003</v>
      </c>
      <c r="J83" s="96">
        <v>0.03</v>
      </c>
      <c r="K83" s="126"/>
      <c r="L83" s="114">
        <v>375</v>
      </c>
      <c r="M83" s="68">
        <f>SUM(L83*D83)/1000</f>
        <v>0.1125</v>
      </c>
    </row>
    <row r="84" spans="1:13" x14ac:dyDescent="0.25">
      <c r="A84" s="782"/>
      <c r="B84" s="107" t="s">
        <v>49</v>
      </c>
      <c r="C84" s="107"/>
      <c r="D84" s="63">
        <v>10</v>
      </c>
      <c r="E84" s="63">
        <v>10</v>
      </c>
      <c r="F84" s="63">
        <v>0</v>
      </c>
      <c r="G84" s="63">
        <v>0</v>
      </c>
      <c r="H84" s="63">
        <v>9.98</v>
      </c>
      <c r="I84" s="63">
        <v>37.9</v>
      </c>
      <c r="J84" s="96">
        <v>0</v>
      </c>
      <c r="K84" s="126"/>
      <c r="L84" s="114">
        <v>50</v>
      </c>
      <c r="M84" s="68">
        <f>SUM(L84*D84)/1000</f>
        <v>0.5</v>
      </c>
    </row>
    <row r="85" spans="1:13" x14ac:dyDescent="0.25">
      <c r="A85" s="782"/>
      <c r="B85" s="107" t="s">
        <v>19</v>
      </c>
      <c r="C85" s="107"/>
      <c r="D85" s="63">
        <v>150</v>
      </c>
      <c r="E85" s="63">
        <v>150</v>
      </c>
      <c r="F85" s="63">
        <v>0</v>
      </c>
      <c r="G85" s="63">
        <v>0</v>
      </c>
      <c r="H85" s="63">
        <v>0</v>
      </c>
      <c r="I85" s="63">
        <v>0</v>
      </c>
      <c r="J85" s="96">
        <v>0</v>
      </c>
      <c r="K85" s="126"/>
      <c r="L85" s="114">
        <v>0</v>
      </c>
      <c r="M85" s="68">
        <f>SUM(L85*D85)/1000</f>
        <v>0</v>
      </c>
    </row>
    <row r="86" spans="1:13" x14ac:dyDescent="0.25">
      <c r="A86" s="782"/>
      <c r="B86" s="107"/>
      <c r="C86" s="107"/>
      <c r="D86" s="63"/>
      <c r="E86" s="63"/>
      <c r="F86" s="118">
        <f>SUM(F82:F85)</f>
        <v>0.06</v>
      </c>
      <c r="G86" s="118">
        <f>SUM(G82:G85)</f>
        <v>0</v>
      </c>
      <c r="H86" s="118">
        <f>SUM(H82:H85)</f>
        <v>10.0007</v>
      </c>
      <c r="I86" s="118">
        <f>SUM(I82:I85)</f>
        <v>38.355399999999996</v>
      </c>
      <c r="J86" s="118">
        <f>SUM(J82:J85)</f>
        <v>0.03</v>
      </c>
      <c r="K86" s="128"/>
      <c r="L86" s="65"/>
      <c r="M86" s="72">
        <f>SUM(M83:M85)</f>
        <v>0.61250000000000004</v>
      </c>
    </row>
    <row r="87" spans="1:13" x14ac:dyDescent="0.25">
      <c r="A87" s="783"/>
      <c r="B87" s="124" t="s">
        <v>46</v>
      </c>
      <c r="C87" s="124"/>
      <c r="D87" s="13"/>
      <c r="E87" s="13"/>
      <c r="F87" s="142">
        <f>SUM(F79,F86)</f>
        <v>0.06</v>
      </c>
      <c r="G87" s="142">
        <f>SUM(G79,G86)</f>
        <v>0</v>
      </c>
      <c r="H87" s="142">
        <f>SUM(H79,H86)</f>
        <v>10.0007</v>
      </c>
      <c r="I87" s="142">
        <f>SUM(I79,I86)</f>
        <v>38.355399999999996</v>
      </c>
      <c r="J87" s="143">
        <f>SUM(J79,J86)</f>
        <v>0.03</v>
      </c>
      <c r="K87" s="129"/>
      <c r="L87" s="65"/>
      <c r="M87" s="71">
        <f>SUM(M79,M86)</f>
        <v>0.61250000000000004</v>
      </c>
    </row>
    <row r="88" spans="1:13" x14ac:dyDescent="0.25">
      <c r="A88" s="535" t="s">
        <v>51</v>
      </c>
      <c r="B88" s="146"/>
      <c r="C88" s="146"/>
      <c r="D88" s="63"/>
      <c r="E88" s="63"/>
      <c r="F88" s="11">
        <f>SUM(F33,F70,F74,F87)</f>
        <v>9.9864000000000015</v>
      </c>
      <c r="G88" s="11">
        <f>SUM(G33,G70,G74,G87)</f>
        <v>18.196099999999998</v>
      </c>
      <c r="H88" s="11">
        <f>SUM(H33,H70,H74,H87)</f>
        <v>100.09309999999999</v>
      </c>
      <c r="I88" s="11">
        <f>SUM(I33,I70,I74,I87)</f>
        <v>655.34440000000006</v>
      </c>
      <c r="J88" s="11">
        <f>SUM(J33,J70,J74,J87)</f>
        <v>44.274500000000003</v>
      </c>
      <c r="K88" s="12"/>
      <c r="L88" s="74"/>
      <c r="M88" s="75">
        <f>SUM(M33,M70,M74,M87)</f>
        <v>26.441208000000003</v>
      </c>
    </row>
    <row r="89" spans="1:13" x14ac:dyDescent="0.25">
      <c r="A89" s="13" t="s">
        <v>52</v>
      </c>
      <c r="B89" s="13"/>
      <c r="C89" s="13"/>
      <c r="D89" s="63"/>
      <c r="E89" s="63"/>
      <c r="F89" s="13"/>
      <c r="G89" s="13"/>
      <c r="H89" s="13"/>
      <c r="I89" s="13"/>
      <c r="J89" s="96"/>
      <c r="K89" s="108"/>
      <c r="L89" s="65"/>
      <c r="M89" s="64"/>
    </row>
    <row r="90" spans="1:13" x14ac:dyDescent="0.25">
      <c r="A90" s="13" t="s">
        <v>53</v>
      </c>
      <c r="B90" s="13"/>
      <c r="C90" s="4"/>
      <c r="D90" s="105"/>
      <c r="E90" s="106"/>
      <c r="F90" s="63"/>
      <c r="G90" s="63"/>
      <c r="H90" s="63"/>
      <c r="I90" s="107"/>
      <c r="J90" s="96"/>
      <c r="K90" s="108"/>
      <c r="L90" s="65"/>
      <c r="M90" s="64"/>
    </row>
    <row r="91" spans="1:13" ht="33.75" customHeight="1" x14ac:dyDescent="0.25">
      <c r="A91" s="781"/>
      <c r="B91" s="264" t="s">
        <v>197</v>
      </c>
      <c r="C91" s="124">
        <v>180</v>
      </c>
      <c r="D91" s="13"/>
      <c r="E91" s="13"/>
      <c r="F91" s="107"/>
      <c r="G91" s="107"/>
      <c r="H91" s="107"/>
      <c r="I91" s="107"/>
      <c r="J91" s="96"/>
      <c r="K91" s="125" t="s">
        <v>192</v>
      </c>
      <c r="L91" s="65"/>
      <c r="M91" s="64"/>
    </row>
    <row r="92" spans="1:13" x14ac:dyDescent="0.25">
      <c r="A92" s="782"/>
      <c r="B92" s="107" t="s">
        <v>44</v>
      </c>
      <c r="C92" s="107"/>
      <c r="D92" s="63">
        <v>126</v>
      </c>
      <c r="E92" s="63">
        <v>126</v>
      </c>
      <c r="F92" s="63">
        <v>3.528</v>
      </c>
      <c r="G92" s="63">
        <v>4.032</v>
      </c>
      <c r="H92" s="63">
        <v>5.9219999999999997</v>
      </c>
      <c r="I92" s="63">
        <v>73.08</v>
      </c>
      <c r="J92" s="96">
        <v>1.6379999999999999</v>
      </c>
      <c r="K92" s="126"/>
      <c r="L92" s="114">
        <v>41</v>
      </c>
      <c r="M92" s="68">
        <f t="shared" ref="M92:M97" si="3">SUM(L92*D92)/1000</f>
        <v>5.1660000000000004</v>
      </c>
    </row>
    <row r="93" spans="1:13" x14ac:dyDescent="0.25">
      <c r="A93" s="782"/>
      <c r="B93" s="107" t="s">
        <v>19</v>
      </c>
      <c r="C93" s="107"/>
      <c r="D93" s="63">
        <v>54</v>
      </c>
      <c r="E93" s="63">
        <v>54</v>
      </c>
      <c r="F93" s="63">
        <v>0</v>
      </c>
      <c r="G93" s="63">
        <v>0</v>
      </c>
      <c r="H93" s="63">
        <v>0</v>
      </c>
      <c r="I93" s="63">
        <v>0</v>
      </c>
      <c r="J93" s="96">
        <v>0</v>
      </c>
      <c r="K93" s="126"/>
      <c r="L93" s="114">
        <v>0</v>
      </c>
      <c r="M93" s="68">
        <f t="shared" si="3"/>
        <v>0</v>
      </c>
    </row>
    <row r="94" spans="1:13" x14ac:dyDescent="0.25">
      <c r="A94" s="782"/>
      <c r="B94" s="107" t="s">
        <v>54</v>
      </c>
      <c r="C94" s="107"/>
      <c r="D94" s="63">
        <v>10.8</v>
      </c>
      <c r="E94" s="63">
        <v>10.8</v>
      </c>
      <c r="F94" s="63">
        <v>0.84</v>
      </c>
      <c r="G94" s="63">
        <v>0.12</v>
      </c>
      <c r="H94" s="63">
        <v>8.5679999999999996</v>
      </c>
      <c r="I94" s="63">
        <v>39.6</v>
      </c>
      <c r="J94" s="96">
        <v>0</v>
      </c>
      <c r="K94" s="126"/>
      <c r="L94" s="114">
        <v>33</v>
      </c>
      <c r="M94" s="68">
        <f t="shared" si="3"/>
        <v>0.35640000000000005</v>
      </c>
    </row>
    <row r="95" spans="1:13" x14ac:dyDescent="0.25">
      <c r="A95" s="782"/>
      <c r="B95" s="107" t="s">
        <v>21</v>
      </c>
      <c r="C95" s="107"/>
      <c r="D95" s="63">
        <v>1.8</v>
      </c>
      <c r="E95" s="63">
        <v>1.8</v>
      </c>
      <c r="F95" s="63">
        <v>1.4E-2</v>
      </c>
      <c r="G95" s="63">
        <v>1.3049999999999999</v>
      </c>
      <c r="H95" s="63">
        <v>2.3E-2</v>
      </c>
      <c r="I95" s="63">
        <v>11.89</v>
      </c>
      <c r="J95" s="96">
        <v>0</v>
      </c>
      <c r="K95" s="126"/>
      <c r="L95" s="114">
        <v>310</v>
      </c>
      <c r="M95" s="68">
        <f t="shared" si="3"/>
        <v>0.55800000000000005</v>
      </c>
    </row>
    <row r="96" spans="1:13" x14ac:dyDescent="0.25">
      <c r="A96" s="782"/>
      <c r="B96" s="107" t="s">
        <v>49</v>
      </c>
      <c r="C96" s="107"/>
      <c r="D96" s="63">
        <v>1.44</v>
      </c>
      <c r="E96" s="63">
        <v>1.44</v>
      </c>
      <c r="F96" s="63">
        <v>0</v>
      </c>
      <c r="G96" s="63">
        <v>0</v>
      </c>
      <c r="H96" s="63">
        <v>1.4370000000000001</v>
      </c>
      <c r="I96" s="63">
        <v>5.4569999999999999</v>
      </c>
      <c r="J96" s="96">
        <v>0</v>
      </c>
      <c r="K96" s="126"/>
      <c r="L96" s="114">
        <v>50</v>
      </c>
      <c r="M96" s="68">
        <f t="shared" si="3"/>
        <v>7.1999999999999995E-2</v>
      </c>
    </row>
    <row r="97" spans="1:13" x14ac:dyDescent="0.25">
      <c r="A97" s="782"/>
      <c r="B97" s="107" t="s">
        <v>112</v>
      </c>
      <c r="C97" s="107"/>
      <c r="D97" s="63">
        <v>0.27</v>
      </c>
      <c r="E97" s="63">
        <v>0.27</v>
      </c>
      <c r="F97" s="63">
        <v>0</v>
      </c>
      <c r="G97" s="63">
        <v>0</v>
      </c>
      <c r="H97" s="63">
        <v>0</v>
      </c>
      <c r="I97" s="63">
        <v>0</v>
      </c>
      <c r="J97" s="96">
        <v>0</v>
      </c>
      <c r="K97" s="126"/>
      <c r="L97" s="114">
        <v>16</v>
      </c>
      <c r="M97" s="68">
        <f t="shared" si="3"/>
        <v>4.3200000000000001E-3</v>
      </c>
    </row>
    <row r="98" spans="1:13" x14ac:dyDescent="0.25">
      <c r="A98" s="782"/>
      <c r="B98" s="146"/>
      <c r="C98" s="146"/>
      <c r="D98" s="63"/>
      <c r="E98" s="63"/>
      <c r="F98" s="130">
        <f>SUM(F92:F97)</f>
        <v>4.3820000000000006</v>
      </c>
      <c r="G98" s="130">
        <f t="shared" ref="G98:J98" si="4">SUM(G92:G97)</f>
        <v>5.4569999999999999</v>
      </c>
      <c r="H98" s="130">
        <f t="shared" si="4"/>
        <v>15.949999999999998</v>
      </c>
      <c r="I98" s="130">
        <f t="shared" si="4"/>
        <v>130.02700000000002</v>
      </c>
      <c r="J98" s="130">
        <f t="shared" si="4"/>
        <v>1.6379999999999999</v>
      </c>
      <c r="K98" s="129"/>
      <c r="L98" s="65"/>
      <c r="M98" s="72">
        <f>SUM(M92:M97)</f>
        <v>6.15672</v>
      </c>
    </row>
    <row r="99" spans="1:13" x14ac:dyDescent="0.25">
      <c r="A99" s="782"/>
      <c r="B99" s="529" t="s">
        <v>23</v>
      </c>
      <c r="C99" s="105">
        <v>40</v>
      </c>
      <c r="D99" s="13"/>
      <c r="E99" s="123"/>
      <c r="F99" s="110"/>
      <c r="G99" s="110"/>
      <c r="H99" s="110"/>
      <c r="I99" s="110"/>
      <c r="J99" s="97"/>
      <c r="K99" s="112" t="s">
        <v>24</v>
      </c>
      <c r="L99" s="185"/>
      <c r="M99" s="68"/>
    </row>
    <row r="100" spans="1:13" x14ac:dyDescent="0.25">
      <c r="A100" s="782"/>
      <c r="B100" s="107" t="s">
        <v>21</v>
      </c>
      <c r="C100" s="194"/>
      <c r="D100" s="63">
        <v>10</v>
      </c>
      <c r="E100" s="63">
        <v>10</v>
      </c>
      <c r="F100" s="63">
        <v>0.08</v>
      </c>
      <c r="G100" s="63">
        <v>7.25</v>
      </c>
      <c r="H100" s="63">
        <v>0.13</v>
      </c>
      <c r="I100" s="63">
        <v>66.099999999999994</v>
      </c>
      <c r="J100" s="231">
        <v>0</v>
      </c>
      <c r="K100" s="112"/>
      <c r="L100" s="185">
        <v>50</v>
      </c>
      <c r="M100" s="68">
        <f>SUM(L100*D100)/1000</f>
        <v>0.5</v>
      </c>
    </row>
    <row r="101" spans="1:13" x14ac:dyDescent="0.25">
      <c r="A101" s="782"/>
      <c r="B101" s="107" t="s">
        <v>106</v>
      </c>
      <c r="C101" s="194"/>
      <c r="D101" s="63">
        <v>30</v>
      </c>
      <c r="E101" s="63">
        <v>30</v>
      </c>
      <c r="F101" s="63">
        <v>2.31</v>
      </c>
      <c r="G101" s="63">
        <v>0.9</v>
      </c>
      <c r="H101" s="63">
        <v>14.94</v>
      </c>
      <c r="I101" s="63">
        <v>78.599999999999994</v>
      </c>
      <c r="J101" s="231">
        <v>0</v>
      </c>
      <c r="K101" s="112"/>
      <c r="L101" s="185">
        <v>110</v>
      </c>
      <c r="M101" s="68">
        <f>SUM(L101*D101)/1000</f>
        <v>3.3</v>
      </c>
    </row>
    <row r="102" spans="1:13" x14ac:dyDescent="0.25">
      <c r="A102" s="782"/>
      <c r="B102" s="107"/>
      <c r="C102" s="107"/>
      <c r="D102" s="63"/>
      <c r="E102" s="63"/>
      <c r="F102" s="118">
        <f>SUM(F100:F101)</f>
        <v>2.39</v>
      </c>
      <c r="G102" s="118">
        <f t="shared" ref="G102:J102" si="5">SUM(G100:G101)</f>
        <v>8.15</v>
      </c>
      <c r="H102" s="118">
        <f t="shared" si="5"/>
        <v>15.07</v>
      </c>
      <c r="I102" s="118">
        <f t="shared" si="5"/>
        <v>144.69999999999999</v>
      </c>
      <c r="J102" s="118">
        <f t="shared" si="5"/>
        <v>0</v>
      </c>
      <c r="K102" s="153"/>
      <c r="L102" s="185"/>
      <c r="M102" s="72">
        <f>SUM(M100:M101)</f>
        <v>3.8</v>
      </c>
    </row>
    <row r="103" spans="1:13" x14ac:dyDescent="0.25">
      <c r="A103" s="782"/>
      <c r="B103" s="109" t="s">
        <v>72</v>
      </c>
      <c r="C103" s="105" t="s">
        <v>187</v>
      </c>
      <c r="D103" s="13"/>
      <c r="E103" s="13"/>
      <c r="F103" s="13"/>
      <c r="G103" s="13"/>
      <c r="H103" s="13"/>
      <c r="I103" s="13"/>
      <c r="J103" s="96"/>
      <c r="K103" s="125" t="s">
        <v>188</v>
      </c>
      <c r="L103" s="65"/>
      <c r="M103" s="64"/>
    </row>
    <row r="104" spans="1:13" x14ac:dyDescent="0.25">
      <c r="A104" s="782"/>
      <c r="B104" s="109" t="s">
        <v>184</v>
      </c>
      <c r="C104" s="124"/>
      <c r="D104" s="13">
        <v>30</v>
      </c>
      <c r="E104" s="13">
        <v>30</v>
      </c>
      <c r="F104" s="13"/>
      <c r="G104" s="13"/>
      <c r="H104" s="13"/>
      <c r="I104" s="13"/>
      <c r="J104" s="96"/>
      <c r="K104" s="125"/>
      <c r="L104" s="65"/>
      <c r="M104" s="64"/>
    </row>
    <row r="105" spans="1:13" x14ac:dyDescent="0.25">
      <c r="A105" s="782"/>
      <c r="B105" s="107" t="s">
        <v>120</v>
      </c>
      <c r="C105" s="124"/>
      <c r="D105" s="63">
        <v>32.4</v>
      </c>
      <c r="E105" s="63">
        <v>32.4</v>
      </c>
      <c r="F105" s="63">
        <v>0</v>
      </c>
      <c r="G105" s="63">
        <v>0</v>
      </c>
      <c r="H105" s="63">
        <v>0</v>
      </c>
      <c r="I105" s="63">
        <v>0</v>
      </c>
      <c r="J105" s="96">
        <v>0</v>
      </c>
      <c r="K105" s="125"/>
      <c r="L105" s="65">
        <v>0</v>
      </c>
      <c r="M105" s="68">
        <f>SUM(L105*D105)/1000</f>
        <v>0</v>
      </c>
    </row>
    <row r="106" spans="1:13" x14ac:dyDescent="0.25">
      <c r="A106" s="782"/>
      <c r="B106" s="107" t="s">
        <v>185</v>
      </c>
      <c r="C106" s="107"/>
      <c r="D106" s="63">
        <v>0.3</v>
      </c>
      <c r="E106" s="63">
        <v>0.3</v>
      </c>
      <c r="F106" s="63">
        <v>0.06</v>
      </c>
      <c r="G106" s="63">
        <v>0</v>
      </c>
      <c r="H106" s="63">
        <v>2.07E-2</v>
      </c>
      <c r="I106" s="63">
        <v>0.45540000000000003</v>
      </c>
      <c r="J106" s="96">
        <v>0.03</v>
      </c>
      <c r="K106" s="126"/>
      <c r="L106" s="114">
        <v>375</v>
      </c>
      <c r="M106" s="68">
        <f>SUM(L106*D106)/1000</f>
        <v>0.1125</v>
      </c>
    </row>
    <row r="107" spans="1:13" x14ac:dyDescent="0.25">
      <c r="A107" s="782"/>
      <c r="B107" s="107" t="s">
        <v>49</v>
      </c>
      <c r="C107" s="107"/>
      <c r="D107" s="63">
        <v>10</v>
      </c>
      <c r="E107" s="63">
        <v>10</v>
      </c>
      <c r="F107" s="63">
        <v>0</v>
      </c>
      <c r="G107" s="63">
        <v>0</v>
      </c>
      <c r="H107" s="63">
        <v>9.98</v>
      </c>
      <c r="I107" s="63">
        <v>37.9</v>
      </c>
      <c r="J107" s="96">
        <v>0</v>
      </c>
      <c r="K107" s="126"/>
      <c r="L107" s="114">
        <v>50</v>
      </c>
      <c r="M107" s="68">
        <f>SUM(L107*D107)/1000</f>
        <v>0.5</v>
      </c>
    </row>
    <row r="108" spans="1:13" x14ac:dyDescent="0.25">
      <c r="A108" s="782"/>
      <c r="B108" s="107" t="s">
        <v>19</v>
      </c>
      <c r="C108" s="107"/>
      <c r="D108" s="63">
        <v>150</v>
      </c>
      <c r="E108" s="63">
        <v>150</v>
      </c>
      <c r="F108" s="63">
        <v>0</v>
      </c>
      <c r="G108" s="63">
        <v>0</v>
      </c>
      <c r="H108" s="63">
        <v>0</v>
      </c>
      <c r="I108" s="63">
        <v>0</v>
      </c>
      <c r="J108" s="96">
        <v>0</v>
      </c>
      <c r="K108" s="126"/>
      <c r="L108" s="114">
        <v>0</v>
      </c>
      <c r="M108" s="68">
        <f>SUM(L108*D108)/1000</f>
        <v>0</v>
      </c>
    </row>
    <row r="109" spans="1:13" x14ac:dyDescent="0.25">
      <c r="A109" s="783"/>
      <c r="B109" s="107"/>
      <c r="C109" s="107"/>
      <c r="D109" s="63"/>
      <c r="E109" s="63"/>
      <c r="F109" s="274">
        <f>SUM(F105:F108)</f>
        <v>0.06</v>
      </c>
      <c r="G109" s="274">
        <f t="shared" ref="G109:J109" si="6">SUM(G105:G108)</f>
        <v>0</v>
      </c>
      <c r="H109" s="274">
        <f t="shared" si="6"/>
        <v>10.0007</v>
      </c>
      <c r="I109" s="274">
        <f t="shared" si="6"/>
        <v>38.355399999999996</v>
      </c>
      <c r="J109" s="274">
        <f t="shared" si="6"/>
        <v>0.03</v>
      </c>
      <c r="K109" s="120"/>
      <c r="L109" s="65"/>
      <c r="M109" s="72">
        <f>SUM(M104:M108)</f>
        <v>0.61250000000000004</v>
      </c>
    </row>
    <row r="110" spans="1:13" ht="15" hidden="1" customHeight="1" x14ac:dyDescent="0.25">
      <c r="A110" s="781"/>
      <c r="B110" s="138"/>
      <c r="C110" s="147"/>
      <c r="D110" s="100"/>
      <c r="E110" s="100"/>
      <c r="F110" s="148"/>
      <c r="G110" s="148"/>
      <c r="H110" s="148"/>
      <c r="I110" s="148"/>
      <c r="J110" s="149"/>
      <c r="K110" s="132"/>
      <c r="L110" s="65"/>
      <c r="M110" s="67"/>
    </row>
    <row r="111" spans="1:13" x14ac:dyDescent="0.25">
      <c r="A111" s="783"/>
      <c r="B111" s="138" t="s">
        <v>57</v>
      </c>
      <c r="C111" s="150"/>
      <c r="D111" s="63"/>
      <c r="E111" s="13"/>
      <c r="F111" s="151">
        <f>SUM(F98,F102,F109,F110)</f>
        <v>6.8319999999999999</v>
      </c>
      <c r="G111" s="151">
        <f>SUM(G98,G102,G109,G110)</f>
        <v>13.606999999999999</v>
      </c>
      <c r="H111" s="151">
        <f>SUM(H98,H102,H109,H110)</f>
        <v>41.020699999999998</v>
      </c>
      <c r="I111" s="151">
        <f>SUM(I98,I102,I109,I110)</f>
        <v>313.08239999999995</v>
      </c>
      <c r="J111" s="151">
        <f>SUM(J98,J102,J109,J110)</f>
        <v>1.6679999999999999</v>
      </c>
      <c r="K111" s="132"/>
      <c r="L111" s="65"/>
      <c r="M111" s="71">
        <f>SUM(M98,M102,M109,M110)</f>
        <v>10.569220000000001</v>
      </c>
    </row>
    <row r="112" spans="1:13" x14ac:dyDescent="0.25">
      <c r="A112" s="781" t="s">
        <v>208</v>
      </c>
      <c r="B112" s="124"/>
      <c r="C112" s="124"/>
      <c r="D112" s="63"/>
      <c r="E112" s="63"/>
      <c r="F112" s="654"/>
      <c r="G112" s="654"/>
      <c r="H112" s="654"/>
      <c r="I112" s="654"/>
      <c r="J112" s="655"/>
      <c r="K112" s="162"/>
      <c r="L112" s="65"/>
      <c r="M112" s="71"/>
    </row>
    <row r="113" spans="1:13" x14ac:dyDescent="0.25">
      <c r="A113" s="782"/>
      <c r="B113" s="350" t="s">
        <v>232</v>
      </c>
      <c r="C113" s="339">
        <v>100</v>
      </c>
      <c r="D113" s="352">
        <v>105</v>
      </c>
      <c r="E113" s="352">
        <v>105</v>
      </c>
      <c r="F113" s="417">
        <f>2.8*E113/100</f>
        <v>2.94</v>
      </c>
      <c r="G113" s="417">
        <f>3.2*E113/100</f>
        <v>3.36</v>
      </c>
      <c r="H113" s="417">
        <f>4.7*E113/100</f>
        <v>4.9349999999999996</v>
      </c>
      <c r="I113" s="418">
        <f>58*E113/100</f>
        <v>60.9</v>
      </c>
      <c r="J113" s="419">
        <f>1.3*E113/100</f>
        <v>1.365</v>
      </c>
      <c r="K113" s="162" t="s">
        <v>207</v>
      </c>
      <c r="L113" s="65">
        <v>55.58</v>
      </c>
      <c r="M113" s="72">
        <f>SUM(D113*L113)/1000</f>
        <v>5.8358999999999996</v>
      </c>
    </row>
    <row r="114" spans="1:13" x14ac:dyDescent="0.25">
      <c r="A114" s="783"/>
      <c r="B114" s="124" t="s">
        <v>57</v>
      </c>
      <c r="C114" s="133"/>
      <c r="D114" s="63"/>
      <c r="E114" s="63"/>
      <c r="F114" s="282">
        <f>SUM(F95,F104,F111:F113)</f>
        <v>9.7859999999999996</v>
      </c>
      <c r="G114" s="282">
        <f t="shared" ref="G114:J114" si="7">SUM(G95,G104,G111:G113)</f>
        <v>18.271999999999998</v>
      </c>
      <c r="H114" s="282">
        <f t="shared" si="7"/>
        <v>45.978700000000003</v>
      </c>
      <c r="I114" s="282">
        <f t="shared" si="7"/>
        <v>385.87239999999991</v>
      </c>
      <c r="J114" s="282">
        <f t="shared" si="7"/>
        <v>3.0329999999999999</v>
      </c>
      <c r="K114" s="162"/>
      <c r="L114" s="65"/>
      <c r="M114" s="282">
        <f>SUM(M95,M104,M111:M113)</f>
        <v>16.96312</v>
      </c>
    </row>
    <row r="115" spans="1:13" x14ac:dyDescent="0.25">
      <c r="A115" s="5" t="s">
        <v>58</v>
      </c>
      <c r="B115" s="13"/>
      <c r="C115" s="4"/>
      <c r="D115" s="105"/>
      <c r="E115" s="106"/>
      <c r="F115" s="63"/>
      <c r="G115" s="63"/>
      <c r="H115" s="63"/>
      <c r="I115" s="63"/>
      <c r="J115" s="96"/>
      <c r="K115" s="108"/>
      <c r="L115" s="65"/>
      <c r="M115" s="64"/>
    </row>
    <row r="116" spans="1:13" ht="30" x14ac:dyDescent="0.25">
      <c r="A116" s="526"/>
      <c r="B116" s="530" t="s">
        <v>156</v>
      </c>
      <c r="C116" s="140">
        <v>200</v>
      </c>
      <c r="D116" s="154"/>
      <c r="E116" s="154"/>
      <c r="F116" s="63"/>
      <c r="G116" s="63"/>
      <c r="H116" s="63"/>
      <c r="I116" s="63"/>
      <c r="J116" s="96"/>
      <c r="K116" s="125" t="s">
        <v>157</v>
      </c>
      <c r="L116" s="65"/>
      <c r="M116" s="64"/>
    </row>
    <row r="117" spans="1:13" x14ac:dyDescent="0.25">
      <c r="A117" s="526"/>
      <c r="B117" s="96" t="s">
        <v>158</v>
      </c>
      <c r="C117" s="96"/>
      <c r="D117" s="63">
        <v>34</v>
      </c>
      <c r="E117" s="63">
        <v>27.3</v>
      </c>
      <c r="F117" s="102">
        <v>0.48</v>
      </c>
      <c r="G117" s="63">
        <v>3.2000000000000001E-2</v>
      </c>
      <c r="H117" s="63">
        <v>2.8159999999999998</v>
      </c>
      <c r="I117" s="63">
        <v>13.44</v>
      </c>
      <c r="J117" s="96">
        <v>3.2</v>
      </c>
      <c r="K117" s="126"/>
      <c r="L117" s="65"/>
      <c r="M117" s="64"/>
    </row>
    <row r="118" spans="1:13" x14ac:dyDescent="0.25">
      <c r="A118" s="526"/>
      <c r="B118" s="96" t="s">
        <v>159</v>
      </c>
      <c r="C118" s="96"/>
      <c r="D118" s="63">
        <v>17.3</v>
      </c>
      <c r="E118" s="63">
        <v>14</v>
      </c>
      <c r="F118" s="59">
        <v>0.28799999999999998</v>
      </c>
      <c r="G118" s="51">
        <v>1.6E-2</v>
      </c>
      <c r="H118" s="51">
        <v>0.752</v>
      </c>
      <c r="I118" s="51">
        <v>4.4800000000000004</v>
      </c>
      <c r="J118" s="53">
        <v>7.2</v>
      </c>
      <c r="K118" s="126"/>
      <c r="L118" s="114">
        <v>25.38</v>
      </c>
      <c r="M118" s="68">
        <f t="shared" ref="M118:M128" si="8">SUM(L118*D118)/1000</f>
        <v>0.43907400000000002</v>
      </c>
    </row>
    <row r="119" spans="1:13" x14ac:dyDescent="0.25">
      <c r="A119" s="526"/>
      <c r="B119" s="96" t="s">
        <v>36</v>
      </c>
      <c r="C119" s="96"/>
      <c r="D119" s="63">
        <v>31.3</v>
      </c>
      <c r="E119" s="63">
        <v>23.3</v>
      </c>
      <c r="F119" s="102">
        <v>0.31</v>
      </c>
      <c r="G119" s="63">
        <v>6.4000000000000001E-2</v>
      </c>
      <c r="H119" s="63">
        <v>2.6080000000000001</v>
      </c>
      <c r="I119" s="63">
        <v>12.32</v>
      </c>
      <c r="J119" s="96">
        <v>3.2</v>
      </c>
      <c r="K119" s="126"/>
      <c r="L119" s="114">
        <v>21.89</v>
      </c>
      <c r="M119" s="68">
        <f t="shared" si="8"/>
        <v>0.68515700000000002</v>
      </c>
    </row>
    <row r="120" spans="1:13" x14ac:dyDescent="0.25">
      <c r="A120" s="781"/>
      <c r="B120" s="96" t="s">
        <v>59</v>
      </c>
      <c r="C120" s="96"/>
      <c r="D120" s="63">
        <v>13.3</v>
      </c>
      <c r="E120" s="63">
        <v>10</v>
      </c>
      <c r="F120" s="63">
        <v>0.104</v>
      </c>
      <c r="G120" s="63">
        <v>8.0000000000000002E-3</v>
      </c>
      <c r="H120" s="63">
        <v>0.55200000000000005</v>
      </c>
      <c r="I120" s="63">
        <v>2.8</v>
      </c>
      <c r="J120" s="96">
        <v>0.4</v>
      </c>
      <c r="K120" s="126"/>
      <c r="L120" s="114">
        <v>21.98</v>
      </c>
      <c r="M120" s="68">
        <f t="shared" si="8"/>
        <v>0.29233399999999998</v>
      </c>
    </row>
    <row r="121" spans="1:13" x14ac:dyDescent="0.25">
      <c r="A121" s="782"/>
      <c r="B121" s="96" t="s">
        <v>32</v>
      </c>
      <c r="C121" s="96"/>
      <c r="D121" s="63">
        <v>10</v>
      </c>
      <c r="E121" s="63">
        <v>8</v>
      </c>
      <c r="F121" s="63">
        <v>0.112</v>
      </c>
      <c r="G121" s="63">
        <v>1.6E-2</v>
      </c>
      <c r="H121" s="63">
        <v>0.65600000000000003</v>
      </c>
      <c r="I121" s="63">
        <v>0.28000000000000003</v>
      </c>
      <c r="J121" s="96">
        <v>0.8</v>
      </c>
      <c r="K121" s="126"/>
      <c r="L121" s="114">
        <v>38.5</v>
      </c>
      <c r="M121" s="68">
        <f t="shared" si="8"/>
        <v>0.38500000000000001</v>
      </c>
    </row>
    <row r="122" spans="1:13" x14ac:dyDescent="0.25">
      <c r="A122" s="782"/>
      <c r="B122" s="96" t="s">
        <v>60</v>
      </c>
      <c r="C122" s="96"/>
      <c r="D122" s="63">
        <v>2.7</v>
      </c>
      <c r="E122" s="63">
        <v>2.7</v>
      </c>
      <c r="F122" s="102">
        <v>0.28799999999999998</v>
      </c>
      <c r="G122" s="63">
        <v>0</v>
      </c>
      <c r="H122" s="63">
        <v>1.1399999999999999</v>
      </c>
      <c r="I122" s="63">
        <v>6.12</v>
      </c>
      <c r="J122" s="96">
        <v>2.7</v>
      </c>
      <c r="K122" s="126"/>
      <c r="L122" s="114">
        <v>120</v>
      </c>
      <c r="M122" s="68">
        <f t="shared" si="8"/>
        <v>0.32400000000000001</v>
      </c>
    </row>
    <row r="123" spans="1:13" x14ac:dyDescent="0.25">
      <c r="A123" s="782"/>
      <c r="B123" s="96" t="s">
        <v>37</v>
      </c>
      <c r="C123" s="96"/>
      <c r="D123" s="63">
        <v>4</v>
      </c>
      <c r="E123" s="63">
        <v>4</v>
      </c>
      <c r="F123" s="102">
        <v>0</v>
      </c>
      <c r="G123" s="63">
        <v>3.996</v>
      </c>
      <c r="H123" s="63">
        <v>0</v>
      </c>
      <c r="I123" s="63">
        <v>35.96</v>
      </c>
      <c r="J123" s="96">
        <v>0</v>
      </c>
      <c r="K123" s="126"/>
      <c r="L123" s="114">
        <v>92.2</v>
      </c>
      <c r="M123" s="68">
        <f t="shared" si="8"/>
        <v>0.36880000000000002</v>
      </c>
    </row>
    <row r="124" spans="1:13" x14ac:dyDescent="0.25">
      <c r="A124" s="782"/>
      <c r="B124" s="96" t="s">
        <v>49</v>
      </c>
      <c r="C124" s="96"/>
      <c r="D124" s="63">
        <v>2</v>
      </c>
      <c r="E124" s="63">
        <v>2</v>
      </c>
      <c r="F124" s="102">
        <v>0</v>
      </c>
      <c r="G124" s="63">
        <v>0</v>
      </c>
      <c r="H124" s="63">
        <v>1.996</v>
      </c>
      <c r="I124" s="63">
        <v>7.58</v>
      </c>
      <c r="J124" s="96">
        <v>0</v>
      </c>
      <c r="K124" s="126"/>
      <c r="L124" s="114">
        <v>50.7</v>
      </c>
      <c r="M124" s="68">
        <f t="shared" si="8"/>
        <v>0.1014</v>
      </c>
    </row>
    <row r="125" spans="1:13" x14ac:dyDescent="0.25">
      <c r="A125" s="782"/>
      <c r="B125" s="96" t="s">
        <v>19</v>
      </c>
      <c r="C125" s="96"/>
      <c r="D125" s="63">
        <v>160</v>
      </c>
      <c r="E125" s="63">
        <v>160</v>
      </c>
      <c r="F125" s="102">
        <v>0</v>
      </c>
      <c r="G125" s="63">
        <v>0</v>
      </c>
      <c r="H125" s="63">
        <v>0</v>
      </c>
      <c r="I125" s="63">
        <v>0</v>
      </c>
      <c r="J125" s="96">
        <v>0</v>
      </c>
      <c r="K125" s="126"/>
      <c r="L125" s="114">
        <v>16.62</v>
      </c>
      <c r="M125" s="68">
        <f t="shared" si="8"/>
        <v>2.6592000000000002</v>
      </c>
    </row>
    <row r="126" spans="1:13" x14ac:dyDescent="0.25">
      <c r="A126" s="782"/>
      <c r="B126" s="96" t="s">
        <v>61</v>
      </c>
      <c r="C126" s="96"/>
      <c r="D126" s="63">
        <v>7.0000000000000001E-3</v>
      </c>
      <c r="E126" s="63">
        <v>7.0000000000000001E-3</v>
      </c>
      <c r="F126" s="102">
        <v>0</v>
      </c>
      <c r="G126" s="63">
        <v>0</v>
      </c>
      <c r="H126" s="63">
        <v>0</v>
      </c>
      <c r="I126" s="63">
        <v>0</v>
      </c>
      <c r="J126" s="96">
        <v>0</v>
      </c>
      <c r="K126" s="126"/>
      <c r="L126" s="114">
        <v>550</v>
      </c>
      <c r="M126" s="68">
        <f t="shared" si="8"/>
        <v>3.8500000000000001E-3</v>
      </c>
    </row>
    <row r="127" spans="1:13" x14ac:dyDescent="0.25">
      <c r="A127" s="782"/>
      <c r="B127" s="96" t="s">
        <v>112</v>
      </c>
      <c r="C127" s="96"/>
      <c r="D127" s="63">
        <v>1.2</v>
      </c>
      <c r="E127" s="63">
        <v>1.2</v>
      </c>
      <c r="F127" s="102">
        <v>0</v>
      </c>
      <c r="G127" s="63">
        <v>0</v>
      </c>
      <c r="H127" s="63">
        <v>0</v>
      </c>
      <c r="I127" s="63">
        <v>0</v>
      </c>
      <c r="J127" s="96">
        <v>0</v>
      </c>
      <c r="K127" s="126"/>
      <c r="L127" s="114">
        <v>153</v>
      </c>
      <c r="M127" s="68">
        <f t="shared" si="8"/>
        <v>0.18359999999999999</v>
      </c>
    </row>
    <row r="128" spans="1:13" x14ac:dyDescent="0.25">
      <c r="A128" s="782"/>
      <c r="B128" s="96" t="s">
        <v>62</v>
      </c>
      <c r="C128" s="96"/>
      <c r="D128" s="63">
        <v>4</v>
      </c>
      <c r="E128" s="63">
        <v>4</v>
      </c>
      <c r="F128" s="63">
        <v>0.1</v>
      </c>
      <c r="G128" s="63">
        <v>0.6</v>
      </c>
      <c r="H128" s="63">
        <v>0.13600000000000001</v>
      </c>
      <c r="I128" s="63">
        <v>8.24</v>
      </c>
      <c r="J128" s="96">
        <v>1.2E-2</v>
      </c>
      <c r="K128" s="126"/>
      <c r="L128" s="114">
        <v>0</v>
      </c>
      <c r="M128" s="68">
        <f t="shared" si="8"/>
        <v>0</v>
      </c>
    </row>
    <row r="129" spans="1:13" x14ac:dyDescent="0.25">
      <c r="A129" s="782"/>
      <c r="B129" s="248"/>
      <c r="C129" s="248"/>
      <c r="D129" s="63"/>
      <c r="E129" s="63"/>
      <c r="F129" s="192">
        <f>SUM(F117:F128)</f>
        <v>1.6820000000000004</v>
      </c>
      <c r="G129" s="192">
        <f>SUM(G117:G128)</f>
        <v>4.7319999999999993</v>
      </c>
      <c r="H129" s="192">
        <f>SUM(H117:H128)</f>
        <v>10.655999999999999</v>
      </c>
      <c r="I129" s="192">
        <f>SUM(I117:I128)</f>
        <v>91.22</v>
      </c>
      <c r="J129" s="193">
        <f>SUM(J117:J128)</f>
        <v>17.512000000000004</v>
      </c>
      <c r="K129" s="156"/>
      <c r="L129" s="114"/>
      <c r="M129" s="68"/>
    </row>
    <row r="130" spans="1:13" x14ac:dyDescent="0.25">
      <c r="A130" s="782"/>
      <c r="B130" s="107"/>
      <c r="C130" s="107"/>
      <c r="D130" s="63"/>
      <c r="E130" s="63"/>
      <c r="F130" s="63"/>
      <c r="G130" s="63"/>
      <c r="H130" s="63"/>
      <c r="I130" s="63"/>
      <c r="J130" s="96"/>
      <c r="K130" s="136"/>
      <c r="L130" s="114"/>
      <c r="M130" s="68"/>
    </row>
    <row r="131" spans="1:13" ht="15" hidden="1" customHeight="1" x14ac:dyDescent="0.25">
      <c r="A131" s="782"/>
      <c r="B131" s="124"/>
      <c r="C131" s="124"/>
      <c r="D131" s="13"/>
      <c r="E131" s="13"/>
      <c r="F131" s="118">
        <f>SUM(F121:F130)</f>
        <v>2.1820000000000004</v>
      </c>
      <c r="G131" s="118">
        <f>SUM(G121:G130)</f>
        <v>9.3439999999999976</v>
      </c>
      <c r="H131" s="118">
        <f>SUM(H121:H130)</f>
        <v>14.584</v>
      </c>
      <c r="I131" s="118">
        <f>SUM(I121:I130)</f>
        <v>149.4</v>
      </c>
      <c r="J131" s="119">
        <f>SUM(J121:J130)</f>
        <v>21.024000000000004</v>
      </c>
      <c r="K131" s="120"/>
      <c r="L131" s="65"/>
      <c r="M131" s="72">
        <f>SUM(M121:M130)</f>
        <v>4.0258500000000002</v>
      </c>
    </row>
    <row r="132" spans="1:13" x14ac:dyDescent="0.25">
      <c r="A132" s="782"/>
      <c r="B132" s="529" t="s">
        <v>167</v>
      </c>
      <c r="C132" s="124">
        <v>200</v>
      </c>
      <c r="D132" s="13"/>
      <c r="E132" s="13"/>
      <c r="F132" s="124"/>
      <c r="G132" s="107"/>
      <c r="H132" s="107"/>
      <c r="I132" s="107"/>
      <c r="J132" s="96"/>
      <c r="K132" s="125" t="s">
        <v>195</v>
      </c>
      <c r="L132" s="65"/>
      <c r="M132" s="64"/>
    </row>
    <row r="133" spans="1:13" x14ac:dyDescent="0.25">
      <c r="A133" s="782"/>
      <c r="B133" s="96" t="s">
        <v>274</v>
      </c>
      <c r="C133" s="96"/>
      <c r="D133" s="63">
        <v>153.6</v>
      </c>
      <c r="E133" s="63">
        <v>108.8</v>
      </c>
      <c r="F133" s="102">
        <v>16.829999999999998</v>
      </c>
      <c r="G133" s="63">
        <v>14.49</v>
      </c>
      <c r="H133" s="63">
        <v>0</v>
      </c>
      <c r="I133" s="63">
        <v>198</v>
      </c>
      <c r="J133" s="96">
        <v>1.8</v>
      </c>
      <c r="K133" s="126"/>
      <c r="L133" s="114">
        <v>136.62</v>
      </c>
      <c r="M133" s="68">
        <f t="shared" ref="M133:M139" si="9">SUM(L133*D133)/1000</f>
        <v>20.984831999999997</v>
      </c>
    </row>
    <row r="134" spans="1:13" x14ac:dyDescent="0.25">
      <c r="A134" s="782"/>
      <c r="B134" s="96" t="s">
        <v>37</v>
      </c>
      <c r="C134" s="96"/>
      <c r="D134" s="63">
        <v>8.4</v>
      </c>
      <c r="E134" s="63">
        <v>8.4</v>
      </c>
      <c r="F134" s="102">
        <v>6.4000000000000001E-2</v>
      </c>
      <c r="G134" s="63">
        <v>5.8</v>
      </c>
      <c r="H134" s="63">
        <v>0.104</v>
      </c>
      <c r="I134" s="63">
        <v>52.88</v>
      </c>
      <c r="J134" s="96">
        <v>0</v>
      </c>
      <c r="K134" s="126"/>
      <c r="L134" s="114">
        <v>376.98</v>
      </c>
      <c r="M134" s="68">
        <f t="shared" si="9"/>
        <v>3.1666319999999999</v>
      </c>
    </row>
    <row r="135" spans="1:13" x14ac:dyDescent="0.25">
      <c r="A135" s="782"/>
      <c r="B135" s="96" t="s">
        <v>32</v>
      </c>
      <c r="C135" s="96"/>
      <c r="D135" s="63">
        <v>9.6</v>
      </c>
      <c r="E135" s="63">
        <v>8.4</v>
      </c>
      <c r="F135" s="102">
        <v>0.126</v>
      </c>
      <c r="G135" s="63">
        <v>1.7999999999999999E-2</v>
      </c>
      <c r="H135" s="63">
        <v>0.73799999999999999</v>
      </c>
      <c r="I135" s="63">
        <v>3.69</v>
      </c>
      <c r="J135" s="96">
        <v>0.9</v>
      </c>
      <c r="K135" s="126"/>
      <c r="L135" s="114">
        <v>21.98</v>
      </c>
      <c r="M135" s="68">
        <f t="shared" si="9"/>
        <v>0.211008</v>
      </c>
    </row>
    <row r="136" spans="1:13" x14ac:dyDescent="0.25">
      <c r="A136" s="782"/>
      <c r="B136" s="96" t="s">
        <v>59</v>
      </c>
      <c r="C136" s="96"/>
      <c r="D136" s="63">
        <v>12</v>
      </c>
      <c r="E136" s="63">
        <v>9.6</v>
      </c>
      <c r="F136" s="102">
        <v>0.16900000000000001</v>
      </c>
      <c r="G136" s="63">
        <v>1.2999999999999999E-2</v>
      </c>
      <c r="H136" s="63">
        <v>0.89700000000000002</v>
      </c>
      <c r="I136" s="63">
        <v>4.55</v>
      </c>
      <c r="J136" s="96">
        <v>0.65</v>
      </c>
      <c r="K136" s="126"/>
      <c r="L136" s="114">
        <v>38.5</v>
      </c>
      <c r="M136" s="68">
        <f t="shared" si="9"/>
        <v>0.46200000000000002</v>
      </c>
    </row>
    <row r="137" spans="1:13" x14ac:dyDescent="0.25">
      <c r="A137" s="782"/>
      <c r="B137" s="96" t="s">
        <v>113</v>
      </c>
      <c r="C137" s="96"/>
      <c r="D137" s="63">
        <v>2.4</v>
      </c>
      <c r="E137" s="63">
        <v>2.4</v>
      </c>
      <c r="F137" s="102">
        <v>0.33600000000000002</v>
      </c>
      <c r="G137" s="63">
        <v>0</v>
      </c>
      <c r="H137" s="63">
        <v>1.33</v>
      </c>
      <c r="I137" s="63">
        <v>7.14</v>
      </c>
      <c r="J137" s="96">
        <v>3.15</v>
      </c>
      <c r="K137" s="126"/>
      <c r="L137" s="114">
        <v>120</v>
      </c>
      <c r="M137" s="68">
        <f t="shared" si="9"/>
        <v>0.28799999999999998</v>
      </c>
    </row>
    <row r="138" spans="1:13" x14ac:dyDescent="0.25">
      <c r="A138" s="782"/>
      <c r="B138" s="96" t="s">
        <v>18</v>
      </c>
      <c r="C138" s="96"/>
      <c r="D138" s="63">
        <v>42</v>
      </c>
      <c r="E138" s="63">
        <v>42</v>
      </c>
      <c r="F138" s="102">
        <v>3.22</v>
      </c>
      <c r="G138" s="63">
        <v>0.46</v>
      </c>
      <c r="H138" s="63">
        <v>32.844000000000001</v>
      </c>
      <c r="I138" s="63">
        <v>151.80000000000001</v>
      </c>
      <c r="J138" s="96">
        <v>0</v>
      </c>
      <c r="K138" s="126"/>
      <c r="L138" s="114">
        <v>55.45</v>
      </c>
      <c r="M138" s="68">
        <f t="shared" si="9"/>
        <v>2.3289</v>
      </c>
    </row>
    <row r="139" spans="1:13" x14ac:dyDescent="0.25">
      <c r="A139" s="782"/>
      <c r="B139" s="101" t="s">
        <v>112</v>
      </c>
      <c r="C139" s="101"/>
      <c r="D139" s="100">
        <v>2</v>
      </c>
      <c r="E139" s="100">
        <v>2</v>
      </c>
      <c r="F139" s="102">
        <v>0</v>
      </c>
      <c r="G139" s="63">
        <v>0</v>
      </c>
      <c r="H139" s="63">
        <v>0</v>
      </c>
      <c r="I139" s="63">
        <v>0</v>
      </c>
      <c r="J139" s="96">
        <v>0</v>
      </c>
      <c r="K139" s="126"/>
      <c r="L139" s="114">
        <v>16.62</v>
      </c>
      <c r="M139" s="68">
        <f t="shared" si="9"/>
        <v>3.3239999999999999E-2</v>
      </c>
    </row>
    <row r="140" spans="1:13" x14ac:dyDescent="0.25">
      <c r="A140" s="782"/>
      <c r="B140" s="117"/>
      <c r="C140" s="117"/>
      <c r="D140" s="100"/>
      <c r="E140" s="100"/>
      <c r="F140" s="118">
        <f>SUM(F133:F139)</f>
        <v>20.744999999999997</v>
      </c>
      <c r="G140" s="118">
        <f>SUM(G133:G139)</f>
        <v>20.781000000000002</v>
      </c>
      <c r="H140" s="118">
        <f>SUM(H133:H139)</f>
        <v>35.913000000000004</v>
      </c>
      <c r="I140" s="118">
        <f>SUM(I133:I139)</f>
        <v>418.06</v>
      </c>
      <c r="J140" s="118">
        <f>SUM(J133:J139)</f>
        <v>6.5</v>
      </c>
      <c r="K140" s="156"/>
      <c r="L140" s="65"/>
      <c r="M140" s="72">
        <f>SUM(M133:M139)</f>
        <v>27.474611999999997</v>
      </c>
    </row>
    <row r="141" spans="1:13" x14ac:dyDescent="0.25">
      <c r="A141" s="782"/>
      <c r="B141" s="107"/>
      <c r="C141" s="567"/>
      <c r="D141" s="558"/>
      <c r="E141" s="568"/>
      <c r="F141" s="568"/>
      <c r="G141" s="568"/>
      <c r="H141" s="568"/>
      <c r="I141" s="569"/>
      <c r="J141" s="568"/>
      <c r="K141" s="568"/>
      <c r="L141" s="114"/>
      <c r="M141" s="68"/>
    </row>
    <row r="142" spans="1:13" x14ac:dyDescent="0.25">
      <c r="A142" s="782"/>
      <c r="B142" s="107"/>
      <c r="C142" s="107"/>
      <c r="D142" s="63"/>
      <c r="E142" s="63"/>
      <c r="F142" s="118">
        <f>SUM(F133:F141)</f>
        <v>41.489999999999995</v>
      </c>
      <c r="G142" s="118">
        <f t="shared" ref="G142:J142" si="10">SUM(G133:G141)</f>
        <v>41.562000000000005</v>
      </c>
      <c r="H142" s="118">
        <f t="shared" si="10"/>
        <v>71.826000000000008</v>
      </c>
      <c r="I142" s="118">
        <f t="shared" si="10"/>
        <v>836.12</v>
      </c>
      <c r="J142" s="118">
        <f t="shared" si="10"/>
        <v>13</v>
      </c>
      <c r="K142" s="153"/>
      <c r="L142" s="65"/>
      <c r="M142" s="72">
        <f>SUM(M133:M141)</f>
        <v>54.949223999999994</v>
      </c>
    </row>
    <row r="143" spans="1:13" ht="15" hidden="1" customHeight="1" x14ac:dyDescent="0.25">
      <c r="A143" s="782"/>
      <c r="B143" s="109"/>
      <c r="C143" s="140"/>
      <c r="D143" s="154"/>
      <c r="E143" s="154"/>
      <c r="F143" s="63"/>
      <c r="G143" s="63"/>
      <c r="H143" s="63"/>
      <c r="I143" s="63"/>
      <c r="J143" s="96"/>
      <c r="K143" s="155"/>
      <c r="L143" s="65"/>
      <c r="M143" s="64"/>
    </row>
    <row r="144" spans="1:13" ht="15" hidden="1" customHeight="1" x14ac:dyDescent="0.25">
      <c r="A144" s="782"/>
      <c r="B144" s="96"/>
      <c r="C144" s="96"/>
      <c r="D144" s="63"/>
      <c r="E144" s="63"/>
      <c r="F144" s="102"/>
      <c r="G144" s="63"/>
      <c r="H144" s="63"/>
      <c r="I144" s="63"/>
      <c r="J144" s="96"/>
      <c r="K144" s="152"/>
      <c r="L144" s="114"/>
      <c r="M144" s="68"/>
    </row>
    <row r="145" spans="1:13" ht="15" hidden="1" customHeight="1" x14ac:dyDescent="0.25">
      <c r="A145" s="782"/>
      <c r="B145" s="107"/>
      <c r="C145" s="117"/>
      <c r="D145" s="100"/>
      <c r="E145" s="100"/>
      <c r="F145" s="63"/>
      <c r="G145" s="63"/>
      <c r="H145" s="63"/>
      <c r="I145" s="63"/>
      <c r="J145" s="96"/>
      <c r="K145" s="152"/>
      <c r="L145" s="114"/>
      <c r="M145" s="68"/>
    </row>
    <row r="146" spans="1:13" ht="15" hidden="1" customHeight="1" x14ac:dyDescent="0.25">
      <c r="A146" s="782"/>
      <c r="B146" s="107"/>
      <c r="C146" s="107"/>
      <c r="D146" s="63"/>
      <c r="E146" s="63"/>
      <c r="F146" s="63"/>
      <c r="G146" s="63"/>
      <c r="H146" s="63"/>
      <c r="I146" s="63"/>
      <c r="J146" s="96"/>
      <c r="K146" s="152"/>
      <c r="L146" s="114"/>
      <c r="M146" s="68"/>
    </row>
    <row r="147" spans="1:13" ht="15" hidden="1" customHeight="1" x14ac:dyDescent="0.25">
      <c r="A147" s="782"/>
      <c r="B147" s="116"/>
      <c r="C147" s="107"/>
      <c r="D147" s="63"/>
      <c r="E147" s="63"/>
      <c r="F147" s="118"/>
      <c r="G147" s="118"/>
      <c r="H147" s="118"/>
      <c r="I147" s="118"/>
      <c r="J147" s="119"/>
      <c r="K147" s="156"/>
      <c r="L147" s="65"/>
      <c r="M147" s="72"/>
    </row>
    <row r="148" spans="1:13" x14ac:dyDescent="0.25">
      <c r="A148" s="782"/>
      <c r="B148" s="138" t="s">
        <v>180</v>
      </c>
      <c r="C148" s="124">
        <v>180</v>
      </c>
      <c r="D148" s="13"/>
      <c r="E148" s="13"/>
      <c r="F148" s="63"/>
      <c r="G148" s="63"/>
      <c r="H148" s="63"/>
      <c r="I148" s="63"/>
      <c r="J148" s="96"/>
      <c r="K148" s="108" t="s">
        <v>181</v>
      </c>
      <c r="L148" s="65"/>
      <c r="M148" s="64"/>
    </row>
    <row r="149" spans="1:13" ht="16.5" customHeight="1" x14ac:dyDescent="0.25">
      <c r="A149" s="782"/>
      <c r="B149" s="107" t="s">
        <v>182</v>
      </c>
      <c r="C149" s="107"/>
      <c r="D149" s="63">
        <v>18</v>
      </c>
      <c r="E149" s="63" t="s">
        <v>183</v>
      </c>
      <c r="F149" s="63">
        <v>0.93600000000000005</v>
      </c>
      <c r="G149" s="63">
        <v>5.3999999999999999E-2</v>
      </c>
      <c r="H149" s="63">
        <v>9.18</v>
      </c>
      <c r="I149" s="63">
        <v>41.76</v>
      </c>
      <c r="J149" s="96">
        <v>0.72</v>
      </c>
      <c r="K149" s="136"/>
      <c r="L149" s="114">
        <v>90</v>
      </c>
      <c r="M149" s="76">
        <f>SUM(L149*D149)/1000</f>
        <v>1.62</v>
      </c>
    </row>
    <row r="150" spans="1:13" x14ac:dyDescent="0.25">
      <c r="A150" s="782"/>
      <c r="B150" s="107" t="s">
        <v>38</v>
      </c>
      <c r="C150" s="107"/>
      <c r="D150" s="63">
        <v>14.4</v>
      </c>
      <c r="E150" s="63">
        <v>14.4</v>
      </c>
      <c r="F150" s="63">
        <v>0</v>
      </c>
      <c r="G150" s="63">
        <v>0</v>
      </c>
      <c r="H150" s="63">
        <v>14.371</v>
      </c>
      <c r="I150" s="63">
        <v>54.576000000000001</v>
      </c>
      <c r="J150" s="96">
        <v>0</v>
      </c>
      <c r="K150" s="136"/>
      <c r="L150" s="114">
        <v>50</v>
      </c>
      <c r="M150" s="68">
        <f>SUM(L150*D150)/1000</f>
        <v>0.72</v>
      </c>
    </row>
    <row r="151" spans="1:13" x14ac:dyDescent="0.25">
      <c r="A151" s="782"/>
      <c r="B151" s="107" t="s">
        <v>19</v>
      </c>
      <c r="C151" s="107"/>
      <c r="D151" s="63">
        <v>182.7</v>
      </c>
      <c r="E151" s="63">
        <v>182.7</v>
      </c>
      <c r="F151" s="63">
        <v>0</v>
      </c>
      <c r="G151" s="63">
        <v>0</v>
      </c>
      <c r="H151" s="63">
        <v>0</v>
      </c>
      <c r="I151" s="63">
        <v>0</v>
      </c>
      <c r="J151" s="96">
        <v>0</v>
      </c>
      <c r="K151" s="136"/>
      <c r="L151" s="114">
        <v>0</v>
      </c>
      <c r="M151" s="64">
        <f>SUM(L151*D151)/1000</f>
        <v>0</v>
      </c>
    </row>
    <row r="152" spans="1:13" x14ac:dyDescent="0.25">
      <c r="A152" s="782"/>
      <c r="B152" s="157"/>
      <c r="C152" s="157"/>
      <c r="D152" s="51"/>
      <c r="E152" s="51"/>
      <c r="F152" s="118">
        <f>SUM(F149:F151)</f>
        <v>0.93600000000000005</v>
      </c>
      <c r="G152" s="118">
        <f t="shared" ref="G152:J152" si="11">SUM(G149:G151)</f>
        <v>5.3999999999999999E-2</v>
      </c>
      <c r="H152" s="118">
        <f t="shared" si="11"/>
        <v>23.551000000000002</v>
      </c>
      <c r="I152" s="118">
        <f t="shared" si="11"/>
        <v>96.335999999999999</v>
      </c>
      <c r="J152" s="118">
        <f t="shared" si="11"/>
        <v>0.72</v>
      </c>
      <c r="K152" s="153"/>
      <c r="L152" s="47"/>
      <c r="M152" s="72">
        <f>SUM(M149:M151)</f>
        <v>2.34</v>
      </c>
    </row>
    <row r="153" spans="1:13" x14ac:dyDescent="0.25">
      <c r="A153" s="782"/>
      <c r="B153" s="109" t="s">
        <v>39</v>
      </c>
      <c r="C153" s="124">
        <v>40</v>
      </c>
      <c r="D153" s="63">
        <v>40</v>
      </c>
      <c r="E153" s="63">
        <v>40</v>
      </c>
      <c r="F153" s="118">
        <v>3.3</v>
      </c>
      <c r="G153" s="118">
        <v>0.6</v>
      </c>
      <c r="H153" s="118">
        <v>17.100000000000001</v>
      </c>
      <c r="I153" s="118">
        <v>90.5</v>
      </c>
      <c r="J153" s="139">
        <v>0</v>
      </c>
      <c r="K153" s="153" t="s">
        <v>73</v>
      </c>
      <c r="L153" s="114">
        <v>40</v>
      </c>
      <c r="M153" s="72">
        <f>SUM(L153*D153)/1000</f>
        <v>1.6</v>
      </c>
    </row>
    <row r="154" spans="1:13" x14ac:dyDescent="0.25">
      <c r="A154" s="782"/>
      <c r="B154" s="109" t="s">
        <v>40</v>
      </c>
      <c r="C154" s="124">
        <v>40</v>
      </c>
      <c r="D154" s="63">
        <v>40</v>
      </c>
      <c r="E154" s="63">
        <v>40</v>
      </c>
      <c r="F154" s="118">
        <v>3.85</v>
      </c>
      <c r="G154" s="118">
        <v>1.5</v>
      </c>
      <c r="H154" s="118">
        <v>24.9</v>
      </c>
      <c r="I154" s="118">
        <v>131</v>
      </c>
      <c r="J154" s="139">
        <v>0</v>
      </c>
      <c r="K154" s="153" t="s">
        <v>73</v>
      </c>
      <c r="L154" s="114">
        <v>35</v>
      </c>
      <c r="M154" s="72">
        <f>SUM(L154*D154)/1000</f>
        <v>1.4</v>
      </c>
    </row>
    <row r="155" spans="1:13" x14ac:dyDescent="0.25">
      <c r="A155" s="783"/>
      <c r="B155" s="124" t="s">
        <v>74</v>
      </c>
      <c r="C155" s="124"/>
      <c r="D155" s="13"/>
      <c r="E155" s="13"/>
      <c r="F155" s="265">
        <f>SUM(F131,F142,F147,F152,F153:F154,)</f>
        <v>51.757999999999996</v>
      </c>
      <c r="G155" s="265">
        <f t="shared" ref="G155:J155" si="12">SUM(G131,G142,G147,G152,G153:G154,)</f>
        <v>53.060000000000009</v>
      </c>
      <c r="H155" s="265">
        <f t="shared" si="12"/>
        <v>151.96100000000001</v>
      </c>
      <c r="I155" s="265">
        <f t="shared" si="12"/>
        <v>1303.356</v>
      </c>
      <c r="J155" s="265">
        <f t="shared" si="12"/>
        <v>34.744</v>
      </c>
      <c r="K155" s="158"/>
      <c r="L155" s="65"/>
      <c r="M155" s="71">
        <f>SUM(M131,M142,M147,M152:M154)</f>
        <v>64.315073999999996</v>
      </c>
    </row>
    <row r="156" spans="1:13" x14ac:dyDescent="0.25">
      <c r="A156" s="5" t="s">
        <v>75</v>
      </c>
      <c r="B156" s="13"/>
      <c r="C156" s="13"/>
      <c r="D156" s="105"/>
      <c r="E156" s="106"/>
      <c r="F156" s="63"/>
      <c r="G156" s="63"/>
      <c r="H156" s="63"/>
      <c r="I156" s="63"/>
      <c r="J156" s="96"/>
      <c r="K156" s="125"/>
      <c r="L156" s="65"/>
      <c r="M156" s="64"/>
    </row>
    <row r="157" spans="1:13" x14ac:dyDescent="0.25">
      <c r="A157" s="781"/>
      <c r="B157" s="529" t="s">
        <v>99</v>
      </c>
      <c r="C157" s="124">
        <v>180</v>
      </c>
      <c r="D157" s="13"/>
      <c r="E157" s="13"/>
      <c r="F157" s="63"/>
      <c r="G157" s="63"/>
      <c r="H157" s="63"/>
      <c r="I157" s="63"/>
      <c r="J157" s="96"/>
      <c r="K157" s="155" t="s">
        <v>179</v>
      </c>
      <c r="L157" s="65"/>
      <c r="M157" s="64"/>
    </row>
    <row r="158" spans="1:13" x14ac:dyDescent="0.25">
      <c r="A158" s="782"/>
      <c r="B158" s="107" t="s">
        <v>100</v>
      </c>
      <c r="C158" s="107"/>
      <c r="D158" s="63">
        <v>2</v>
      </c>
      <c r="E158" s="63">
        <v>2</v>
      </c>
      <c r="F158" s="63">
        <v>0.48</v>
      </c>
      <c r="G158" s="63">
        <v>0.3</v>
      </c>
      <c r="H158" s="63">
        <v>0.20399999999999999</v>
      </c>
      <c r="I158" s="63">
        <v>5.78</v>
      </c>
      <c r="J158" s="231">
        <v>0</v>
      </c>
      <c r="K158" s="126"/>
      <c r="L158" s="114"/>
      <c r="M158" s="78"/>
    </row>
    <row r="159" spans="1:13" x14ac:dyDescent="0.25">
      <c r="A159" s="782"/>
      <c r="B159" s="107" t="s">
        <v>44</v>
      </c>
      <c r="C159" s="107"/>
      <c r="D159" s="63">
        <v>110</v>
      </c>
      <c r="E159" s="63">
        <v>110</v>
      </c>
      <c r="F159" s="63">
        <v>3.08</v>
      </c>
      <c r="G159" s="63">
        <v>3.52</v>
      </c>
      <c r="H159" s="63">
        <v>5.17</v>
      </c>
      <c r="I159" s="63">
        <v>63.8</v>
      </c>
      <c r="J159" s="96">
        <v>1.43</v>
      </c>
      <c r="K159" s="126"/>
      <c r="L159" s="114">
        <v>400</v>
      </c>
      <c r="M159" s="68">
        <f>SUM(L159*D159)/1000</f>
        <v>44</v>
      </c>
    </row>
    <row r="160" spans="1:13" x14ac:dyDescent="0.25">
      <c r="A160" s="782"/>
      <c r="B160" s="107" t="s">
        <v>49</v>
      </c>
      <c r="C160" s="107"/>
      <c r="D160" s="63">
        <v>10</v>
      </c>
      <c r="E160" s="63">
        <v>10</v>
      </c>
      <c r="F160" s="63">
        <v>0</v>
      </c>
      <c r="G160" s="63">
        <v>0</v>
      </c>
      <c r="H160" s="63">
        <v>9.98</v>
      </c>
      <c r="I160" s="63">
        <v>37.9</v>
      </c>
      <c r="J160" s="96">
        <v>0</v>
      </c>
      <c r="K160" s="126"/>
      <c r="L160" s="114">
        <v>0</v>
      </c>
      <c r="M160" s="68">
        <f>SUM(L160*D160)/1000</f>
        <v>0</v>
      </c>
    </row>
    <row r="161" spans="1:13" x14ac:dyDescent="0.25">
      <c r="A161" s="782"/>
      <c r="B161" s="107" t="s">
        <v>19</v>
      </c>
      <c r="C161" s="107"/>
      <c r="D161" s="63">
        <v>80</v>
      </c>
      <c r="E161" s="63">
        <v>80</v>
      </c>
      <c r="F161" s="63">
        <v>0</v>
      </c>
      <c r="G161" s="63">
        <v>0</v>
      </c>
      <c r="H161" s="63">
        <v>0</v>
      </c>
      <c r="I161" s="63">
        <v>0</v>
      </c>
      <c r="J161" s="96">
        <v>0</v>
      </c>
      <c r="K161" s="126"/>
      <c r="L161" s="114">
        <v>50.7</v>
      </c>
      <c r="M161" s="68">
        <f>SUM(L161*D161)/1000</f>
        <v>4.056</v>
      </c>
    </row>
    <row r="162" spans="1:13" x14ac:dyDescent="0.25">
      <c r="A162" s="782"/>
      <c r="B162" s="529"/>
      <c r="C162" s="124"/>
      <c r="D162" s="63"/>
      <c r="E162" s="63"/>
      <c r="F162" s="274">
        <f>SUM(F158:F161)</f>
        <v>3.56</v>
      </c>
      <c r="G162" s="274">
        <f t="shared" ref="G162:J162" si="13">SUM(G158:G161)</f>
        <v>3.82</v>
      </c>
      <c r="H162" s="274">
        <f t="shared" si="13"/>
        <v>15.353999999999999</v>
      </c>
      <c r="I162" s="274">
        <f t="shared" si="13"/>
        <v>107.47999999999999</v>
      </c>
      <c r="J162" s="274">
        <f t="shared" si="13"/>
        <v>1.43</v>
      </c>
      <c r="K162" s="169"/>
      <c r="L162" s="47"/>
      <c r="M162" s="274">
        <f>SUM(M158:M161)</f>
        <v>48.055999999999997</v>
      </c>
    </row>
    <row r="163" spans="1:13" ht="29.25" x14ac:dyDescent="0.25">
      <c r="A163" s="782"/>
      <c r="B163" s="338" t="s">
        <v>301</v>
      </c>
      <c r="C163" s="363">
        <v>130</v>
      </c>
      <c r="D163" s="340"/>
      <c r="E163" s="340"/>
      <c r="F163" s="417">
        <f>F164+F165+F166+F167</f>
        <v>8.64</v>
      </c>
      <c r="G163" s="417">
        <f>G164+G165+G166+G167</f>
        <v>10.126799999999999</v>
      </c>
      <c r="H163" s="417">
        <f>H164+H165+H166+H167</f>
        <v>25.914000000000001</v>
      </c>
      <c r="I163" s="417">
        <f>I164+I165+I166+I167</f>
        <v>438.6</v>
      </c>
      <c r="J163" s="417">
        <f>J164+J165+J166+J167</f>
        <v>1.04</v>
      </c>
      <c r="K163" s="480" t="s">
        <v>302</v>
      </c>
      <c r="L163" s="47"/>
      <c r="M163" s="325"/>
    </row>
    <row r="164" spans="1:13" x14ac:dyDescent="0.25">
      <c r="A164" s="782"/>
      <c r="B164" s="342" t="s">
        <v>303</v>
      </c>
      <c r="C164" s="343"/>
      <c r="D164" s="340">
        <v>36.4</v>
      </c>
      <c r="E164" s="340">
        <v>36.4</v>
      </c>
      <c r="F164" s="340">
        <v>3.8</v>
      </c>
      <c r="G164" s="340">
        <f>1.2*E164/100</f>
        <v>0.43680000000000002</v>
      </c>
      <c r="H164" s="340">
        <f>71*E164/100</f>
        <v>25.844000000000001</v>
      </c>
      <c r="I164" s="345">
        <v>123</v>
      </c>
      <c r="J164" s="346">
        <v>0.44</v>
      </c>
      <c r="K164" s="483"/>
      <c r="L164" s="114">
        <v>46.18</v>
      </c>
      <c r="M164" s="85">
        <f>SUM(D164*L164)/1000</f>
        <v>1.680952</v>
      </c>
    </row>
    <row r="165" spans="1:13" x14ac:dyDescent="0.25">
      <c r="A165" s="782"/>
      <c r="B165" s="406" t="s">
        <v>231</v>
      </c>
      <c r="C165" s="354"/>
      <c r="D165" s="340">
        <v>1.8</v>
      </c>
      <c r="E165" s="340">
        <v>1.8</v>
      </c>
      <c r="F165" s="340">
        <v>0</v>
      </c>
      <c r="G165" s="340">
        <v>0</v>
      </c>
      <c r="H165" s="340">
        <v>0</v>
      </c>
      <c r="I165" s="345">
        <v>0</v>
      </c>
      <c r="J165" s="346">
        <v>0</v>
      </c>
      <c r="K165" s="483"/>
      <c r="L165" s="114">
        <v>16.62</v>
      </c>
      <c r="M165" s="85">
        <f>SUM(D165*L165)/1000</f>
        <v>2.9916000000000005E-2</v>
      </c>
    </row>
    <row r="166" spans="1:13" x14ac:dyDescent="0.25">
      <c r="A166" s="782"/>
      <c r="B166" s="342" t="s">
        <v>281</v>
      </c>
      <c r="C166" s="343"/>
      <c r="D166" s="340">
        <v>5</v>
      </c>
      <c r="E166" s="340">
        <v>5</v>
      </c>
      <c r="F166" s="340">
        <v>0.04</v>
      </c>
      <c r="G166" s="340">
        <v>3.6</v>
      </c>
      <c r="H166" s="340">
        <v>7.0000000000000007E-2</v>
      </c>
      <c r="I166" s="345">
        <v>240</v>
      </c>
      <c r="J166" s="346">
        <v>0</v>
      </c>
      <c r="K166" s="483"/>
      <c r="L166" s="114">
        <v>0</v>
      </c>
      <c r="M166" s="85">
        <f>SUM(D166*L166)/1000</f>
        <v>0</v>
      </c>
    </row>
    <row r="167" spans="1:13" x14ac:dyDescent="0.25">
      <c r="A167" s="782"/>
      <c r="B167" s="342" t="s">
        <v>304</v>
      </c>
      <c r="C167" s="343"/>
      <c r="D167" s="386">
        <v>22.9</v>
      </c>
      <c r="E167" s="386">
        <v>21</v>
      </c>
      <c r="F167" s="340">
        <v>4.8</v>
      </c>
      <c r="G167" s="340">
        <v>6.09</v>
      </c>
      <c r="H167" s="340">
        <v>0</v>
      </c>
      <c r="I167" s="345">
        <v>75.599999999999994</v>
      </c>
      <c r="J167" s="366">
        <v>0.6</v>
      </c>
      <c r="K167" s="483"/>
      <c r="L167" s="114">
        <v>0</v>
      </c>
      <c r="M167" s="85"/>
    </row>
    <row r="168" spans="1:13" x14ac:dyDescent="0.25">
      <c r="A168" s="782"/>
      <c r="B168" s="342" t="s">
        <v>229</v>
      </c>
      <c r="C168" s="415"/>
      <c r="D168" s="416">
        <v>218.5</v>
      </c>
      <c r="E168" s="416">
        <v>218.5</v>
      </c>
      <c r="F168" s="406">
        <v>0</v>
      </c>
      <c r="G168" s="340">
        <v>0</v>
      </c>
      <c r="H168" s="340">
        <v>0</v>
      </c>
      <c r="I168" s="345">
        <v>0</v>
      </c>
      <c r="J168" s="346">
        <v>0</v>
      </c>
      <c r="K168" s="483"/>
      <c r="L168" s="114">
        <v>376.98</v>
      </c>
      <c r="M168" s="85">
        <f>SUM(D168*L168)/1000</f>
        <v>82.370130000000003</v>
      </c>
    </row>
    <row r="169" spans="1:13" x14ac:dyDescent="0.25">
      <c r="A169" s="782"/>
      <c r="B169" s="124" t="s">
        <v>46</v>
      </c>
      <c r="C169" s="124"/>
      <c r="D169" s="13"/>
      <c r="E169" s="13"/>
      <c r="F169" s="282">
        <f>SUM(F162,F163)</f>
        <v>12.200000000000001</v>
      </c>
      <c r="G169" s="282">
        <f t="shared" ref="G169:J169" si="14">SUM(G162,G163)</f>
        <v>13.9468</v>
      </c>
      <c r="H169" s="282">
        <f t="shared" si="14"/>
        <v>41.268000000000001</v>
      </c>
      <c r="I169" s="282">
        <f t="shared" si="14"/>
        <v>546.08000000000004</v>
      </c>
      <c r="J169" s="282">
        <f t="shared" si="14"/>
        <v>2.4699999999999998</v>
      </c>
      <c r="K169" s="251"/>
      <c r="L169" s="235"/>
      <c r="M169" s="282">
        <f>SUM(M162,M163)</f>
        <v>48.055999999999997</v>
      </c>
    </row>
    <row r="170" spans="1:13" ht="15" hidden="1" customHeight="1" x14ac:dyDescent="0.25">
      <c r="A170" s="782"/>
      <c r="B170" s="146"/>
      <c r="C170" s="146"/>
      <c r="D170" s="23"/>
      <c r="E170" s="23"/>
      <c r="F170" s="320">
        <f>SUM(F111,F155,F169)</f>
        <v>70.789999999999992</v>
      </c>
      <c r="G170" s="320">
        <f>SUM(G111,G155,G169)</f>
        <v>80.613799999999998</v>
      </c>
      <c r="H170" s="320">
        <f>SUM(H111,H155,H169)</f>
        <v>234.24970000000002</v>
      </c>
      <c r="I170" s="320">
        <f>SUM(I111,I155,I169)</f>
        <v>2162.5183999999999</v>
      </c>
      <c r="J170" s="320">
        <f>SUM(J111,J155,J169)</f>
        <v>38.881999999999998</v>
      </c>
      <c r="K170" s="30"/>
      <c r="L170" s="32"/>
      <c r="M170" s="33">
        <f>SUM(M111,M155,M169)</f>
        <v>122.94029399999999</v>
      </c>
    </row>
    <row r="171" spans="1:13" ht="15" hidden="1" customHeight="1" x14ac:dyDescent="0.25">
      <c r="A171" s="782"/>
      <c r="B171" s="107"/>
      <c r="C171" s="107"/>
      <c r="D171" s="63"/>
      <c r="E171" s="63"/>
      <c r="F171" s="63"/>
      <c r="G171" s="63"/>
      <c r="H171" s="63"/>
      <c r="I171" s="63"/>
      <c r="J171" s="96"/>
      <c r="K171" s="152"/>
      <c r="L171" s="114"/>
      <c r="M171" s="68"/>
    </row>
    <row r="172" spans="1:13" ht="15" hidden="1" customHeight="1" x14ac:dyDescent="0.25">
      <c r="A172" s="782"/>
      <c r="B172" s="124"/>
      <c r="C172" s="124"/>
      <c r="D172" s="63"/>
      <c r="E172" s="63"/>
      <c r="F172" s="118"/>
      <c r="G172" s="118"/>
      <c r="H172" s="118"/>
      <c r="I172" s="118"/>
      <c r="J172" s="119"/>
      <c r="K172" s="156"/>
      <c r="L172" s="65"/>
      <c r="M172" s="72"/>
    </row>
    <row r="173" spans="1:13" ht="15" hidden="1" customHeight="1" x14ac:dyDescent="0.25">
      <c r="A173" s="783"/>
      <c r="B173" s="124"/>
      <c r="C173" s="124"/>
      <c r="D173" s="63"/>
      <c r="E173" s="63"/>
      <c r="F173" s="142"/>
      <c r="G173" s="142"/>
      <c r="H173" s="142"/>
      <c r="I173" s="142"/>
      <c r="J173" s="143"/>
      <c r="K173" s="158"/>
      <c r="L173" s="65"/>
      <c r="M173" s="71"/>
    </row>
    <row r="174" spans="1:13" hidden="1" x14ac:dyDescent="0.25">
      <c r="A174" s="5"/>
      <c r="B174" s="13"/>
      <c r="C174" s="4"/>
      <c r="D174" s="105"/>
      <c r="E174" s="106"/>
      <c r="F174" s="63"/>
      <c r="G174" s="63"/>
      <c r="H174" s="63"/>
      <c r="I174" s="63"/>
      <c r="J174" s="96"/>
      <c r="K174" s="125"/>
      <c r="L174" s="65"/>
      <c r="M174" s="64"/>
    </row>
    <row r="175" spans="1:13" ht="15" hidden="1" customHeight="1" x14ac:dyDescent="0.25">
      <c r="A175" s="781"/>
      <c r="B175" s="109" t="s">
        <v>72</v>
      </c>
      <c r="C175" s="105"/>
      <c r="D175" s="13"/>
      <c r="E175" s="13"/>
      <c r="F175" s="13"/>
      <c r="G175" s="13"/>
      <c r="H175" s="13"/>
      <c r="I175" s="13"/>
      <c r="J175" s="96"/>
      <c r="K175" s="125"/>
      <c r="L175" s="65"/>
      <c r="M175" s="64"/>
    </row>
    <row r="176" spans="1:13" ht="15" hidden="1" customHeight="1" x14ac:dyDescent="0.25">
      <c r="A176" s="782"/>
      <c r="B176" s="109" t="s">
        <v>184</v>
      </c>
      <c r="C176" s="124"/>
      <c r="D176" s="13"/>
      <c r="E176" s="13"/>
      <c r="F176" s="13"/>
      <c r="G176" s="13"/>
      <c r="H176" s="13"/>
      <c r="I176" s="13"/>
      <c r="J176" s="96"/>
      <c r="K176" s="125"/>
      <c r="L176" s="79"/>
      <c r="M176" s="64"/>
    </row>
    <row r="177" spans="1:13" ht="15" hidden="1" customHeight="1" x14ac:dyDescent="0.25">
      <c r="A177" s="782"/>
      <c r="B177" s="107" t="s">
        <v>120</v>
      </c>
      <c r="C177" s="124"/>
      <c r="D177" s="63"/>
      <c r="E177" s="63"/>
      <c r="F177" s="63"/>
      <c r="G177" s="63"/>
      <c r="H177" s="63"/>
      <c r="I177" s="63"/>
      <c r="J177" s="96"/>
      <c r="K177" s="125"/>
      <c r="L177" s="114"/>
      <c r="M177" s="68"/>
    </row>
    <row r="178" spans="1:13" ht="15" hidden="1" customHeight="1" x14ac:dyDescent="0.25">
      <c r="A178" s="782"/>
      <c r="B178" s="107" t="s">
        <v>185</v>
      </c>
      <c r="C178" s="107"/>
      <c r="D178" s="63"/>
      <c r="E178" s="63"/>
      <c r="F178" s="63"/>
      <c r="G178" s="63"/>
      <c r="H178" s="63"/>
      <c r="I178" s="63"/>
      <c r="J178" s="96"/>
      <c r="K178" s="126"/>
      <c r="L178" s="114"/>
      <c r="M178" s="68"/>
    </row>
    <row r="179" spans="1:13" ht="15" hidden="1" customHeight="1" x14ac:dyDescent="0.25">
      <c r="A179" s="782"/>
      <c r="B179" s="107" t="s">
        <v>49</v>
      </c>
      <c r="C179" s="107"/>
      <c r="D179" s="63"/>
      <c r="E179" s="63"/>
      <c r="F179" s="63"/>
      <c r="G179" s="63"/>
      <c r="H179" s="63"/>
      <c r="I179" s="63"/>
      <c r="J179" s="96"/>
      <c r="K179" s="126"/>
      <c r="L179" s="114"/>
      <c r="M179" s="68"/>
    </row>
    <row r="180" spans="1:13" ht="15" hidden="1" customHeight="1" x14ac:dyDescent="0.25">
      <c r="A180" s="782"/>
      <c r="B180" s="107" t="s">
        <v>19</v>
      </c>
      <c r="C180" s="107"/>
      <c r="D180" s="63"/>
      <c r="E180" s="63"/>
      <c r="F180" s="63"/>
      <c r="G180" s="63"/>
      <c r="H180" s="63"/>
      <c r="I180" s="63"/>
      <c r="J180" s="96"/>
      <c r="K180" s="126"/>
      <c r="L180" s="114"/>
      <c r="M180" s="68"/>
    </row>
    <row r="181" spans="1:13" ht="15" hidden="1" customHeight="1" x14ac:dyDescent="0.25">
      <c r="A181" s="782"/>
      <c r="B181" s="157"/>
      <c r="C181" s="157"/>
      <c r="D181" s="51"/>
      <c r="E181" s="51"/>
      <c r="F181" s="274"/>
      <c r="G181" s="274"/>
      <c r="H181" s="274"/>
      <c r="I181" s="274"/>
      <c r="J181" s="279"/>
      <c r="K181" s="156"/>
      <c r="L181" s="65"/>
      <c r="M181" s="72"/>
    </row>
    <row r="182" spans="1:13" ht="15" hidden="1" customHeight="1" x14ac:dyDescent="0.25">
      <c r="A182" s="782"/>
      <c r="B182" s="109" t="s">
        <v>78</v>
      </c>
      <c r="C182" s="124"/>
      <c r="D182" s="63"/>
      <c r="E182" s="63"/>
      <c r="F182" s="118"/>
      <c r="G182" s="118"/>
      <c r="H182" s="118"/>
      <c r="I182" s="118"/>
      <c r="J182" s="139"/>
      <c r="K182" s="153"/>
      <c r="L182" s="114"/>
      <c r="M182" s="69"/>
    </row>
    <row r="183" spans="1:13" ht="15" hidden="1" customHeight="1" x14ac:dyDescent="0.25">
      <c r="A183" s="783"/>
      <c r="B183" s="124" t="s">
        <v>50</v>
      </c>
      <c r="C183" s="107"/>
      <c r="D183" s="63"/>
      <c r="E183" s="63"/>
      <c r="F183" s="159"/>
      <c r="G183" s="159"/>
      <c r="H183" s="159"/>
      <c r="I183" s="159"/>
      <c r="J183" s="160"/>
      <c r="K183" s="156"/>
      <c r="L183" s="65"/>
      <c r="M183" s="71"/>
    </row>
    <row r="184" spans="1:13" ht="29.25" customHeight="1" x14ac:dyDescent="0.25">
      <c r="A184" s="11" t="s">
        <v>79</v>
      </c>
      <c r="B184" s="16"/>
      <c r="C184" s="16"/>
      <c r="D184" s="17"/>
      <c r="E184" s="17"/>
      <c r="F184" s="18">
        <f>SUM(F111,F155,F173,F183)</f>
        <v>58.589999999999996</v>
      </c>
      <c r="G184" s="18">
        <f>SUM(G111,G155,G173,G183)</f>
        <v>66.667000000000002</v>
      </c>
      <c r="H184" s="18">
        <f>SUM(H111,H155,H173,H183)</f>
        <v>192.98170000000002</v>
      </c>
      <c r="I184" s="18">
        <f>SUM(I111,I155,I173,I183)</f>
        <v>1616.4384</v>
      </c>
      <c r="J184" s="18">
        <f>SUM(J111,J155,J173,J183)</f>
        <v>36.411999999999999</v>
      </c>
      <c r="K184" s="19"/>
      <c r="L184" s="74"/>
      <c r="M184" s="80">
        <f>SUM(M111,M155,M173,M183)</f>
        <v>74.884293999999997</v>
      </c>
    </row>
    <row r="185" spans="1:13" x14ac:dyDescent="0.25">
      <c r="A185" s="13" t="s">
        <v>80</v>
      </c>
      <c r="B185" s="13"/>
      <c r="C185" s="13"/>
      <c r="D185" s="63"/>
      <c r="E185" s="63"/>
      <c r="F185" s="13"/>
      <c r="G185" s="13"/>
      <c r="H185" s="13"/>
      <c r="I185" s="13"/>
      <c r="J185" s="96"/>
      <c r="K185" s="125"/>
      <c r="L185" s="65"/>
      <c r="M185" s="64"/>
    </row>
    <row r="186" spans="1:13" x14ac:dyDescent="0.25">
      <c r="A186" s="5" t="s">
        <v>16</v>
      </c>
      <c r="B186" s="13"/>
      <c r="C186" s="4"/>
      <c r="D186" s="105"/>
      <c r="E186" s="106"/>
      <c r="F186" s="63"/>
      <c r="G186" s="63"/>
      <c r="H186" s="63"/>
      <c r="I186" s="63"/>
      <c r="J186" s="96"/>
      <c r="K186" s="125"/>
      <c r="L186" s="65"/>
      <c r="M186" s="64"/>
    </row>
    <row r="187" spans="1:13" ht="29.25" x14ac:dyDescent="0.25">
      <c r="A187" s="571"/>
      <c r="B187" s="373" t="s">
        <v>253</v>
      </c>
      <c r="C187" s="339">
        <v>200</v>
      </c>
      <c r="D187" s="340"/>
      <c r="E187" s="340"/>
      <c r="F187" s="401">
        <f>F188+F189+F190+F191+F192</f>
        <v>8.5204000000000004</v>
      </c>
      <c r="G187" s="401">
        <f>G188+G189+G190+G191+G192</f>
        <v>5.5196000000000005</v>
      </c>
      <c r="H187" s="401">
        <f>H188+H189+H190+H191+H192</f>
        <v>44.833100000000002</v>
      </c>
      <c r="I187" s="401">
        <f>I188+I189+I190+I191+I192</f>
        <v>261.464</v>
      </c>
      <c r="J187" s="401">
        <f>J188+J189+J190+J191+J192</f>
        <v>1.7329000000000001</v>
      </c>
      <c r="K187" s="479" t="s">
        <v>255</v>
      </c>
      <c r="L187" s="112"/>
      <c r="M187" s="108"/>
    </row>
    <row r="188" spans="1:13" x14ac:dyDescent="0.25">
      <c r="A188" s="572"/>
      <c r="B188" s="374" t="s">
        <v>254</v>
      </c>
      <c r="C188" s="343"/>
      <c r="D188" s="340">
        <v>38</v>
      </c>
      <c r="E188" s="357">
        <v>38</v>
      </c>
      <c r="F188" s="340">
        <f>12.6*E188/100</f>
        <v>4.7880000000000003</v>
      </c>
      <c r="G188" s="340">
        <f>3.3*E188/100</f>
        <v>1.254</v>
      </c>
      <c r="H188" s="340">
        <f>62.1*E188/100</f>
        <v>23.598000000000003</v>
      </c>
      <c r="I188" s="345">
        <f>335*E188/100</f>
        <v>127.3</v>
      </c>
      <c r="J188" s="346">
        <v>0</v>
      </c>
      <c r="K188" s="480"/>
      <c r="L188" s="112">
        <v>65.069999999999993</v>
      </c>
      <c r="M188" s="108">
        <f>SUM(L188*D188)/1000</f>
        <v>2.4726599999999999</v>
      </c>
    </row>
    <row r="189" spans="1:13" x14ac:dyDescent="0.25">
      <c r="A189" s="572"/>
      <c r="B189" s="374" t="s">
        <v>228</v>
      </c>
      <c r="C189" s="343"/>
      <c r="D189" s="340">
        <v>133.30000000000001</v>
      </c>
      <c r="E189" s="357">
        <v>133.30000000000001</v>
      </c>
      <c r="F189" s="340">
        <f>2.8*E189/100</f>
        <v>3.7324000000000002</v>
      </c>
      <c r="G189" s="340">
        <f>3.2*E189/100</f>
        <v>4.2656000000000009</v>
      </c>
      <c r="H189" s="340">
        <f>4.7*E189/100</f>
        <v>6.2651000000000012</v>
      </c>
      <c r="I189" s="345">
        <f>58*E189/100</f>
        <v>77.314000000000007</v>
      </c>
      <c r="J189" s="346">
        <f>1.3*E189/100</f>
        <v>1.7329000000000001</v>
      </c>
      <c r="K189" s="480"/>
      <c r="L189" s="112">
        <v>376.98</v>
      </c>
      <c r="M189" s="108">
        <f>SUM(L189*D189)/1000</f>
        <v>50.25143400000001</v>
      </c>
    </row>
    <row r="190" spans="1:13" x14ac:dyDescent="0.25">
      <c r="A190" s="572"/>
      <c r="B190" s="374" t="s">
        <v>229</v>
      </c>
      <c r="C190" s="343"/>
      <c r="D190" s="340">
        <v>28.6</v>
      </c>
      <c r="E190" s="357">
        <v>28.6</v>
      </c>
      <c r="F190" s="340">
        <v>0</v>
      </c>
      <c r="G190" s="340">
        <v>0</v>
      </c>
      <c r="H190" s="340">
        <v>0</v>
      </c>
      <c r="I190" s="345">
        <v>0</v>
      </c>
      <c r="J190" s="346">
        <v>0</v>
      </c>
      <c r="K190" s="480"/>
      <c r="L190" s="112">
        <v>50.7</v>
      </c>
      <c r="M190" s="108">
        <f>SUM(L190*D190)/1000</f>
        <v>1.4500200000000003</v>
      </c>
    </row>
    <row r="191" spans="1:13" x14ac:dyDescent="0.25">
      <c r="A191" s="572"/>
      <c r="B191" s="353" t="s">
        <v>230</v>
      </c>
      <c r="C191" s="363"/>
      <c r="D191" s="340">
        <v>15</v>
      </c>
      <c r="E191" s="340">
        <v>15</v>
      </c>
      <c r="F191" s="340">
        <v>0</v>
      </c>
      <c r="G191" s="340">
        <v>0</v>
      </c>
      <c r="H191" s="340">
        <f>99.8*E191/100</f>
        <v>14.97</v>
      </c>
      <c r="I191" s="345">
        <f>379*E191/100</f>
        <v>56.85</v>
      </c>
      <c r="J191" s="346">
        <v>0</v>
      </c>
      <c r="K191" s="480"/>
      <c r="L191" s="112">
        <v>16.62</v>
      </c>
      <c r="M191" s="108">
        <f>SUM(L191*D191)/1000</f>
        <v>0.24930000000000002</v>
      </c>
    </row>
    <row r="192" spans="1:13" x14ac:dyDescent="0.25">
      <c r="A192" s="572"/>
      <c r="B192" s="342" t="s">
        <v>231</v>
      </c>
      <c r="C192" s="363"/>
      <c r="D192" s="340">
        <v>0.3</v>
      </c>
      <c r="E192" s="340">
        <v>0.3</v>
      </c>
      <c r="F192" s="340">
        <v>0</v>
      </c>
      <c r="G192" s="340">
        <v>0</v>
      </c>
      <c r="H192" s="340">
        <v>0</v>
      </c>
      <c r="I192" s="345">
        <v>0</v>
      </c>
      <c r="J192" s="346">
        <v>0</v>
      </c>
      <c r="K192" s="480"/>
      <c r="L192" s="185"/>
      <c r="M192" s="72">
        <f>SUM(M188:M191)</f>
        <v>54.423414000000008</v>
      </c>
    </row>
    <row r="193" spans="1:13" x14ac:dyDescent="0.25">
      <c r="A193" s="572"/>
      <c r="B193" s="107"/>
      <c r="C193" s="107"/>
      <c r="D193" s="63"/>
      <c r="E193" s="63"/>
      <c r="F193" s="110"/>
      <c r="G193" s="110"/>
      <c r="H193" s="110"/>
      <c r="I193" s="110"/>
      <c r="J193" s="111"/>
      <c r="K193" s="126"/>
      <c r="L193" s="114">
        <v>310</v>
      </c>
      <c r="M193" s="68">
        <v>16</v>
      </c>
    </row>
    <row r="194" spans="1:13" x14ac:dyDescent="0.25">
      <c r="A194" s="572"/>
      <c r="B194" s="362" t="s">
        <v>45</v>
      </c>
      <c r="C194" s="387">
        <v>30</v>
      </c>
      <c r="D194" s="359">
        <v>30</v>
      </c>
      <c r="E194" s="341">
        <v>30</v>
      </c>
      <c r="F194" s="401">
        <v>3.4</v>
      </c>
      <c r="G194" s="401">
        <v>6.3</v>
      </c>
      <c r="H194" s="401">
        <v>32.799999999999997</v>
      </c>
      <c r="I194" s="401">
        <v>229.5</v>
      </c>
      <c r="J194" s="411">
        <v>0.13</v>
      </c>
      <c r="K194" s="483" t="s">
        <v>73</v>
      </c>
      <c r="L194" s="114">
        <v>16</v>
      </c>
      <c r="M194" s="68">
        <f>SUM(L194*D194)/1000</f>
        <v>0.48</v>
      </c>
    </row>
    <row r="195" spans="1:13" x14ac:dyDescent="0.25">
      <c r="A195" s="572"/>
      <c r="B195" s="107"/>
      <c r="C195" s="107"/>
      <c r="D195" s="63"/>
      <c r="E195" s="63"/>
      <c r="F195" s="118">
        <f>SUM(F188:F194)</f>
        <v>11.920400000000001</v>
      </c>
      <c r="G195" s="118">
        <f>SUM(G188:G194)</f>
        <v>11.819600000000001</v>
      </c>
      <c r="H195" s="118">
        <f>SUM(H188:H194)</f>
        <v>77.633099999999999</v>
      </c>
      <c r="I195" s="118">
        <f>SUM(I188:I194)</f>
        <v>490.964</v>
      </c>
      <c r="J195" s="119">
        <f>SUM(J188:J194)</f>
        <v>1.8629000000000002</v>
      </c>
      <c r="K195" s="156"/>
      <c r="L195" s="65"/>
      <c r="M195" s="72">
        <f>SUM(M188:M194)</f>
        <v>125.32682800000002</v>
      </c>
    </row>
    <row r="196" spans="1:13" x14ac:dyDescent="0.25">
      <c r="A196" s="572"/>
      <c r="B196" s="362" t="s">
        <v>56</v>
      </c>
      <c r="C196" s="363">
        <v>180</v>
      </c>
      <c r="D196" s="352"/>
      <c r="E196" s="352"/>
      <c r="F196" s="401">
        <f>F197+F198+F199+F200</f>
        <v>3.25</v>
      </c>
      <c r="G196" s="401">
        <f>G197+G198+G199+G200</f>
        <v>3.3080000000000003</v>
      </c>
      <c r="H196" s="401">
        <f>H197+H198+H199+H200</f>
        <v>14.89</v>
      </c>
      <c r="I196" s="401">
        <f>I197+I198+I199+I200</f>
        <v>99.460999999999999</v>
      </c>
      <c r="J196" s="401">
        <f>J197+J198+J199+J200</f>
        <v>1.3</v>
      </c>
      <c r="K196" s="484" t="s">
        <v>249</v>
      </c>
      <c r="L196" s="65"/>
      <c r="M196" s="64"/>
    </row>
    <row r="197" spans="1:13" x14ac:dyDescent="0.25">
      <c r="A197" s="572"/>
      <c r="B197" s="353" t="s">
        <v>250</v>
      </c>
      <c r="C197" s="343"/>
      <c r="D197" s="340">
        <v>3</v>
      </c>
      <c r="E197" s="340">
        <v>3</v>
      </c>
      <c r="F197" s="340">
        <f>15*E197/100</f>
        <v>0.45</v>
      </c>
      <c r="G197" s="340">
        <f>3.6*E197/100</f>
        <v>0.10800000000000001</v>
      </c>
      <c r="H197" s="340">
        <f>7*E197/100</f>
        <v>0.21</v>
      </c>
      <c r="I197" s="345">
        <f>118.7*E197/100</f>
        <v>3.5610000000000004</v>
      </c>
      <c r="J197" s="346">
        <v>0</v>
      </c>
      <c r="K197" s="480"/>
      <c r="L197" s="114"/>
      <c r="M197" s="68"/>
    </row>
    <row r="198" spans="1:13" x14ac:dyDescent="0.25">
      <c r="A198" s="572"/>
      <c r="B198" s="353" t="s">
        <v>229</v>
      </c>
      <c r="C198" s="343"/>
      <c r="D198" s="340">
        <v>108</v>
      </c>
      <c r="E198" s="340">
        <v>108</v>
      </c>
      <c r="F198" s="340">
        <v>0</v>
      </c>
      <c r="G198" s="340">
        <v>0</v>
      </c>
      <c r="H198" s="340">
        <v>0</v>
      </c>
      <c r="I198" s="345">
        <v>0</v>
      </c>
      <c r="J198" s="346">
        <v>0</v>
      </c>
      <c r="K198" s="480"/>
      <c r="L198" s="114">
        <v>0</v>
      </c>
      <c r="M198" s="68">
        <f>SUM(L198*D198)/1000</f>
        <v>0</v>
      </c>
    </row>
    <row r="199" spans="1:13" x14ac:dyDescent="0.25">
      <c r="A199" s="572"/>
      <c r="B199" s="353" t="s">
        <v>230</v>
      </c>
      <c r="C199" s="343"/>
      <c r="D199" s="340">
        <v>10</v>
      </c>
      <c r="E199" s="340">
        <v>10</v>
      </c>
      <c r="F199" s="340">
        <v>0</v>
      </c>
      <c r="G199" s="340">
        <v>0</v>
      </c>
      <c r="H199" s="340">
        <f>99.8*E199/100</f>
        <v>9.98</v>
      </c>
      <c r="I199" s="345">
        <f>379*E199/100</f>
        <v>37.9</v>
      </c>
      <c r="J199" s="346">
        <v>0</v>
      </c>
      <c r="K199" s="480"/>
      <c r="L199" s="114">
        <v>400</v>
      </c>
      <c r="M199" s="68">
        <f>SUM(L199*D199)/1000</f>
        <v>4</v>
      </c>
    </row>
    <row r="200" spans="1:13" x14ac:dyDescent="0.25">
      <c r="A200" s="572"/>
      <c r="B200" s="353" t="s">
        <v>228</v>
      </c>
      <c r="C200" s="343"/>
      <c r="D200" s="340">
        <v>90</v>
      </c>
      <c r="E200" s="340">
        <v>90</v>
      </c>
      <c r="F200" s="340">
        <v>2.8</v>
      </c>
      <c r="G200" s="340">
        <v>3.2</v>
      </c>
      <c r="H200" s="340">
        <v>4.7</v>
      </c>
      <c r="I200" s="345">
        <v>58</v>
      </c>
      <c r="J200" s="346">
        <v>1.3</v>
      </c>
      <c r="K200" s="480"/>
      <c r="L200" s="114">
        <v>50.7</v>
      </c>
      <c r="M200" s="68">
        <f>SUM(L200*D200)/1000</f>
        <v>4.5629999999999997</v>
      </c>
    </row>
    <row r="201" spans="1:13" x14ac:dyDescent="0.25">
      <c r="A201" s="572"/>
      <c r="B201" s="384" t="s">
        <v>267</v>
      </c>
      <c r="C201" s="390">
        <v>180</v>
      </c>
      <c r="D201" s="391"/>
      <c r="E201" s="340"/>
      <c r="F201" s="412">
        <v>0</v>
      </c>
      <c r="G201" s="412">
        <v>0</v>
      </c>
      <c r="H201" s="412">
        <v>19.98</v>
      </c>
      <c r="I201" s="413">
        <v>104</v>
      </c>
      <c r="J201" s="414">
        <v>0.24</v>
      </c>
      <c r="K201" s="485" t="s">
        <v>268</v>
      </c>
      <c r="L201" s="79">
        <v>60.94</v>
      </c>
      <c r="M201" s="315">
        <f>SUM(D201*L201)/1000</f>
        <v>0</v>
      </c>
    </row>
    <row r="202" spans="1:13" x14ac:dyDescent="0.25">
      <c r="A202" s="572"/>
      <c r="B202" s="382" t="s">
        <v>269</v>
      </c>
      <c r="C202" s="343"/>
      <c r="D202" s="340">
        <v>18</v>
      </c>
      <c r="E202" s="340">
        <v>18</v>
      </c>
      <c r="F202" s="340">
        <v>0</v>
      </c>
      <c r="G202" s="340">
        <v>0</v>
      </c>
      <c r="H202" s="340">
        <v>0</v>
      </c>
      <c r="I202" s="345">
        <v>28.2</v>
      </c>
      <c r="J202" s="346">
        <v>0.04</v>
      </c>
      <c r="K202" s="480"/>
      <c r="L202" s="79"/>
      <c r="M202" s="315"/>
    </row>
    <row r="203" spans="1:13" x14ac:dyDescent="0.25">
      <c r="A203" s="572"/>
      <c r="B203" s="382" t="s">
        <v>230</v>
      </c>
      <c r="C203" s="343"/>
      <c r="D203" s="340">
        <v>10</v>
      </c>
      <c r="E203" s="340">
        <v>10</v>
      </c>
      <c r="F203" s="340">
        <v>0</v>
      </c>
      <c r="G203" s="340">
        <v>0</v>
      </c>
      <c r="H203" s="340">
        <v>19.98</v>
      </c>
      <c r="I203" s="345">
        <v>75.8</v>
      </c>
      <c r="J203" s="346">
        <v>0</v>
      </c>
      <c r="K203" s="480"/>
      <c r="L203" s="79"/>
      <c r="M203" s="315"/>
    </row>
    <row r="204" spans="1:13" x14ac:dyDescent="0.25">
      <c r="A204" s="572"/>
      <c r="B204" s="382" t="s">
        <v>229</v>
      </c>
      <c r="C204" s="343"/>
      <c r="D204" s="340">
        <v>180</v>
      </c>
      <c r="E204" s="340">
        <v>180</v>
      </c>
      <c r="F204" s="340">
        <v>0</v>
      </c>
      <c r="G204" s="340">
        <v>0</v>
      </c>
      <c r="H204" s="340">
        <v>0</v>
      </c>
      <c r="I204" s="345">
        <v>0</v>
      </c>
      <c r="J204" s="346">
        <v>0</v>
      </c>
      <c r="K204" s="480"/>
      <c r="L204" s="79"/>
      <c r="M204" s="315"/>
    </row>
    <row r="205" spans="1:13" x14ac:dyDescent="0.25">
      <c r="A205" s="572"/>
      <c r="B205" s="138" t="s">
        <v>57</v>
      </c>
      <c r="C205" s="150"/>
      <c r="D205" s="63"/>
      <c r="E205" s="63"/>
      <c r="F205" s="314">
        <f>SUM(F186,F192,F199,F200:F201)</f>
        <v>2.8</v>
      </c>
      <c r="G205" s="314">
        <f t="shared" ref="G205:J205" si="15">SUM(G186,G192,G199,G200:G201)</f>
        <v>3.2</v>
      </c>
      <c r="H205" s="314">
        <f t="shared" si="15"/>
        <v>34.659999999999997</v>
      </c>
      <c r="I205" s="314">
        <f t="shared" si="15"/>
        <v>199.9</v>
      </c>
      <c r="J205" s="314">
        <f t="shared" si="15"/>
        <v>1.54</v>
      </c>
      <c r="K205" s="245"/>
      <c r="L205" s="246"/>
      <c r="M205" s="314">
        <f>SUM(M186,M192,M199,M200:M201)</f>
        <v>62.986414000000011</v>
      </c>
    </row>
    <row r="206" spans="1:13" ht="15.75" customHeight="1" x14ac:dyDescent="0.25">
      <c r="A206" s="572"/>
      <c r="B206" s="382"/>
      <c r="C206" s="343"/>
      <c r="D206" s="340"/>
      <c r="E206" s="340"/>
      <c r="F206" s="340"/>
      <c r="G206" s="340"/>
      <c r="H206" s="340"/>
      <c r="I206" s="345"/>
      <c r="J206" s="346"/>
      <c r="K206" s="480"/>
      <c r="L206" s="114"/>
      <c r="M206" s="68"/>
    </row>
    <row r="207" spans="1:13" ht="15" hidden="1" customHeight="1" x14ac:dyDescent="0.25">
      <c r="A207" s="572"/>
      <c r="B207" s="138" t="s">
        <v>57</v>
      </c>
      <c r="C207" s="150"/>
      <c r="D207" s="63"/>
      <c r="E207" s="63"/>
      <c r="F207" s="314">
        <f>SUM(F186,F192,F199,F200:F201)</f>
        <v>2.8</v>
      </c>
      <c r="G207" s="314">
        <f t="shared" ref="G207:J207" si="16">SUM(G186,G192,G199,G200:G201)</f>
        <v>3.2</v>
      </c>
      <c r="H207" s="314">
        <f t="shared" si="16"/>
        <v>34.659999999999997</v>
      </c>
      <c r="I207" s="314">
        <f t="shared" si="16"/>
        <v>199.9</v>
      </c>
      <c r="J207" s="314">
        <f t="shared" si="16"/>
        <v>1.54</v>
      </c>
      <c r="K207" s="245"/>
      <c r="L207" s="114"/>
      <c r="M207" s="68"/>
    </row>
    <row r="208" spans="1:13" ht="15" hidden="1" customHeight="1" x14ac:dyDescent="0.25">
      <c r="A208" s="573"/>
      <c r="B208" s="157"/>
      <c r="C208" s="157"/>
      <c r="D208" s="51"/>
      <c r="E208" s="51"/>
      <c r="F208" s="274"/>
      <c r="G208" s="274"/>
      <c r="H208" s="274"/>
      <c r="I208" s="274"/>
      <c r="J208" s="279"/>
      <c r="K208" s="156"/>
      <c r="L208" s="65"/>
      <c r="M208" s="72"/>
    </row>
    <row r="209" spans="1:13" ht="15" hidden="1" customHeight="1" x14ac:dyDescent="0.25">
      <c r="A209" s="787"/>
      <c r="B209" s="124"/>
      <c r="C209" s="124"/>
      <c r="D209" s="63"/>
      <c r="E209" s="63"/>
      <c r="F209" s="130"/>
      <c r="G209" s="130"/>
      <c r="H209" s="130"/>
      <c r="I209" s="130"/>
      <c r="J209" s="131"/>
      <c r="K209" s="162"/>
      <c r="L209" s="65"/>
      <c r="M209" s="81"/>
    </row>
    <row r="210" spans="1:13" ht="15" hidden="1" customHeight="1" x14ac:dyDescent="0.25">
      <c r="A210" s="789"/>
      <c r="B210" s="140"/>
      <c r="C210" s="163"/>
      <c r="D210" s="63"/>
      <c r="E210" s="13"/>
      <c r="F210" s="164"/>
      <c r="G210" s="164"/>
      <c r="H210" s="164"/>
      <c r="I210" s="164"/>
      <c r="J210" s="164"/>
      <c r="K210" s="162"/>
      <c r="L210" s="65"/>
      <c r="M210" s="71"/>
    </row>
    <row r="211" spans="1:13" x14ac:dyDescent="0.25">
      <c r="A211" s="61" t="s">
        <v>58</v>
      </c>
      <c r="B211" s="154"/>
      <c r="C211" s="165"/>
      <c r="D211" s="166"/>
      <c r="E211" s="167"/>
      <c r="F211" s="141"/>
      <c r="G211" s="141"/>
      <c r="H211" s="141"/>
      <c r="I211" s="141"/>
      <c r="J211" s="168"/>
      <c r="K211" s="126"/>
      <c r="L211" s="65"/>
      <c r="M211" s="64"/>
    </row>
    <row r="212" spans="1:13" ht="29.25" x14ac:dyDescent="0.25">
      <c r="A212" s="781"/>
      <c r="B212" s="351" t="s">
        <v>275</v>
      </c>
      <c r="C212" s="339">
        <v>200</v>
      </c>
      <c r="D212" s="352"/>
      <c r="E212" s="340"/>
      <c r="F212" s="401">
        <f>F213+F214+F215+F216+F217+F218+F219</f>
        <v>2.2480000000000002</v>
      </c>
      <c r="G212" s="401">
        <f>G213+G214+G215+G216+G217+G218+G219</f>
        <v>2.3260000000000001</v>
      </c>
      <c r="H212" s="401">
        <f>H213+H214+H215+H216+H217+H218+H219</f>
        <v>16.564</v>
      </c>
      <c r="I212" s="401">
        <f>I213+I214+I215+I216+I217+I218+I219</f>
        <v>94.596000000000004</v>
      </c>
      <c r="J212" s="401">
        <f>J213+J214+J215+J216+J217+J218+J219</f>
        <v>13.200000000000001</v>
      </c>
      <c r="K212" s="481" t="s">
        <v>277</v>
      </c>
      <c r="L212" s="65"/>
      <c r="M212" s="64"/>
    </row>
    <row r="213" spans="1:13" x14ac:dyDescent="0.25">
      <c r="A213" s="782"/>
      <c r="B213" s="353" t="s">
        <v>237</v>
      </c>
      <c r="C213" s="343"/>
      <c r="D213" s="340">
        <v>80</v>
      </c>
      <c r="E213" s="340">
        <v>60</v>
      </c>
      <c r="F213" s="340">
        <f>E213*2/100</f>
        <v>1.2</v>
      </c>
      <c r="G213" s="340">
        <f>0.4*E213/100</f>
        <v>0.24</v>
      </c>
      <c r="H213" s="340">
        <f>16.3*E213/100</f>
        <v>9.7799999999999994</v>
      </c>
      <c r="I213" s="340">
        <f>77*E213/100</f>
        <v>46.2</v>
      </c>
      <c r="J213" s="346">
        <v>12</v>
      </c>
      <c r="K213" s="480"/>
      <c r="L213" s="114">
        <v>20.7</v>
      </c>
      <c r="M213" s="68">
        <f t="shared" ref="M213:M219" si="17">SUM(L213*D213)/1000</f>
        <v>1.6559999999999999</v>
      </c>
    </row>
    <row r="214" spans="1:13" x14ac:dyDescent="0.25">
      <c r="A214" s="782"/>
      <c r="B214" s="353" t="s">
        <v>276</v>
      </c>
      <c r="C214" s="343"/>
      <c r="D214" s="340">
        <v>8</v>
      </c>
      <c r="E214" s="340">
        <v>8</v>
      </c>
      <c r="F214" s="340">
        <f>10.4*E214/100</f>
        <v>0.83200000000000007</v>
      </c>
      <c r="G214" s="340">
        <f>1.1*E214/100</f>
        <v>8.8000000000000009E-2</v>
      </c>
      <c r="H214" s="340">
        <f>69.7*E214/100</f>
        <v>5.5760000000000005</v>
      </c>
      <c r="I214" s="340">
        <f>337*E214/100</f>
        <v>26.96</v>
      </c>
      <c r="J214" s="346">
        <v>0</v>
      </c>
      <c r="K214" s="480"/>
      <c r="L214" s="114">
        <v>21.89</v>
      </c>
      <c r="M214" s="68">
        <f t="shared" si="17"/>
        <v>0.17512</v>
      </c>
    </row>
    <row r="215" spans="1:13" x14ac:dyDescent="0.25">
      <c r="A215" s="782"/>
      <c r="B215" s="353" t="s">
        <v>239</v>
      </c>
      <c r="C215" s="343"/>
      <c r="D215" s="340">
        <v>10</v>
      </c>
      <c r="E215" s="340">
        <v>8</v>
      </c>
      <c r="F215" s="340">
        <f>1.4*E215/100</f>
        <v>0.11199999999999999</v>
      </c>
      <c r="G215" s="340">
        <v>0</v>
      </c>
      <c r="H215" s="340">
        <f>8.2*E215/100</f>
        <v>0.65599999999999992</v>
      </c>
      <c r="I215" s="340">
        <f>8.2*E215/100</f>
        <v>0.65599999999999992</v>
      </c>
      <c r="J215" s="346">
        <v>0.8</v>
      </c>
      <c r="K215" s="480"/>
      <c r="L215" s="114">
        <v>38.5</v>
      </c>
      <c r="M215" s="68">
        <f t="shared" si="17"/>
        <v>0.38500000000000001</v>
      </c>
    </row>
    <row r="216" spans="1:13" x14ac:dyDescent="0.25">
      <c r="A216" s="782"/>
      <c r="B216" s="353" t="s">
        <v>238</v>
      </c>
      <c r="C216" s="343"/>
      <c r="D216" s="340">
        <v>10</v>
      </c>
      <c r="E216" s="340">
        <v>8</v>
      </c>
      <c r="F216" s="340">
        <f>1.3*E216/100</f>
        <v>0.10400000000000001</v>
      </c>
      <c r="G216" s="340">
        <v>0</v>
      </c>
      <c r="H216" s="340">
        <f>6.9*E216/100</f>
        <v>0.55200000000000005</v>
      </c>
      <c r="I216" s="340">
        <f>35*E216/100</f>
        <v>2.8</v>
      </c>
      <c r="J216" s="346">
        <v>0.4</v>
      </c>
      <c r="K216" s="480"/>
      <c r="L216" s="114">
        <v>21.98</v>
      </c>
      <c r="M216" s="68">
        <f t="shared" si="17"/>
        <v>0.21980000000000002</v>
      </c>
    </row>
    <row r="217" spans="1:13" x14ac:dyDescent="0.25">
      <c r="A217" s="782"/>
      <c r="B217" s="353" t="s">
        <v>241</v>
      </c>
      <c r="C217" s="343"/>
      <c r="D217" s="340">
        <v>2</v>
      </c>
      <c r="E217" s="340">
        <v>2</v>
      </c>
      <c r="F217" s="340">
        <v>0</v>
      </c>
      <c r="G217" s="340">
        <f>99.9*E217/100</f>
        <v>1.9980000000000002</v>
      </c>
      <c r="H217" s="340">
        <v>0</v>
      </c>
      <c r="I217" s="340">
        <f>899*E217/100</f>
        <v>17.98</v>
      </c>
      <c r="J217" s="346">
        <v>0</v>
      </c>
      <c r="K217" s="480"/>
      <c r="L217" s="114">
        <v>104</v>
      </c>
      <c r="M217" s="68">
        <f t="shared" si="17"/>
        <v>0.20799999999999999</v>
      </c>
    </row>
    <row r="218" spans="1:13" x14ac:dyDescent="0.25">
      <c r="A218" s="782"/>
      <c r="B218" s="353" t="s">
        <v>231</v>
      </c>
      <c r="C218" s="343"/>
      <c r="D218" s="340">
        <v>1.3</v>
      </c>
      <c r="E218" s="340">
        <v>1.3</v>
      </c>
      <c r="F218" s="340">
        <v>0</v>
      </c>
      <c r="G218" s="340">
        <v>0</v>
      </c>
      <c r="H218" s="340">
        <v>0</v>
      </c>
      <c r="I218" s="340">
        <v>0</v>
      </c>
      <c r="J218" s="346">
        <v>0</v>
      </c>
      <c r="K218" s="480"/>
      <c r="L218" s="114">
        <v>92.2</v>
      </c>
      <c r="M218" s="68">
        <f t="shared" si="17"/>
        <v>0.11986000000000001</v>
      </c>
    </row>
    <row r="219" spans="1:13" x14ac:dyDescent="0.25">
      <c r="A219" s="782"/>
      <c r="B219" s="353" t="s">
        <v>229</v>
      </c>
      <c r="C219" s="343"/>
      <c r="D219" s="340">
        <v>140</v>
      </c>
      <c r="E219" s="340">
        <v>140</v>
      </c>
      <c r="F219" s="340">
        <v>0</v>
      </c>
      <c r="G219" s="340">
        <v>0</v>
      </c>
      <c r="H219" s="340">
        <v>0</v>
      </c>
      <c r="I219" s="340">
        <v>0</v>
      </c>
      <c r="J219" s="346">
        <v>0</v>
      </c>
      <c r="K219" s="480"/>
      <c r="L219" s="114">
        <v>153</v>
      </c>
      <c r="M219" s="68">
        <f t="shared" si="17"/>
        <v>21.42</v>
      </c>
    </row>
    <row r="220" spans="1:13" ht="15" hidden="1" customHeight="1" x14ac:dyDescent="0.25">
      <c r="A220" s="782"/>
      <c r="B220" s="107"/>
      <c r="C220" s="107"/>
      <c r="D220" s="63"/>
      <c r="E220" s="63"/>
      <c r="F220" s="63"/>
      <c r="G220" s="63"/>
      <c r="H220" s="63"/>
      <c r="I220" s="63"/>
      <c r="J220" s="96"/>
      <c r="K220" s="126"/>
      <c r="L220" s="114"/>
      <c r="M220" s="68"/>
    </row>
    <row r="221" spans="1:13" ht="15" hidden="1" customHeight="1" x14ac:dyDescent="0.25">
      <c r="A221" s="782"/>
      <c r="B221" s="107"/>
      <c r="C221" s="107"/>
      <c r="D221" s="63"/>
      <c r="E221" s="63"/>
      <c r="F221" s="63"/>
      <c r="G221" s="63"/>
      <c r="H221" s="63"/>
      <c r="I221" s="63"/>
      <c r="J221" s="96"/>
      <c r="K221" s="126"/>
      <c r="L221" s="114"/>
      <c r="M221" s="68"/>
    </row>
    <row r="222" spans="1:13" x14ac:dyDescent="0.25">
      <c r="A222" s="782"/>
      <c r="B222" s="107"/>
      <c r="C222" s="107"/>
      <c r="D222" s="141"/>
      <c r="E222" s="141"/>
      <c r="F222" s="118">
        <f>SUM(F213:F221)</f>
        <v>2.2480000000000002</v>
      </c>
      <c r="G222" s="118">
        <f>SUM(G213:G221)</f>
        <v>2.3260000000000001</v>
      </c>
      <c r="H222" s="118">
        <f>SUM(H213:H221)</f>
        <v>16.564</v>
      </c>
      <c r="I222" s="118">
        <f>SUM(I213:I221)</f>
        <v>94.596000000000004</v>
      </c>
      <c r="J222" s="119">
        <f>SUM(J213:J221)</f>
        <v>13.200000000000001</v>
      </c>
      <c r="K222" s="156"/>
      <c r="L222" s="65"/>
      <c r="M222" s="72">
        <f>SUM(M213:M221)</f>
        <v>24.183780000000002</v>
      </c>
    </row>
    <row r="223" spans="1:13" x14ac:dyDescent="0.25">
      <c r="A223" s="782"/>
      <c r="B223" s="529" t="s">
        <v>212</v>
      </c>
      <c r="C223" s="124">
        <v>70</v>
      </c>
      <c r="D223" s="13"/>
      <c r="E223" s="13"/>
      <c r="F223" s="13"/>
      <c r="G223" s="13"/>
      <c r="H223" s="13"/>
      <c r="I223" s="13"/>
      <c r="J223" s="96"/>
      <c r="K223" s="108" t="s">
        <v>64</v>
      </c>
      <c r="L223" s="65"/>
      <c r="M223" s="64"/>
    </row>
    <row r="224" spans="1:13" x14ac:dyDescent="0.25">
      <c r="A224" s="782"/>
      <c r="B224" s="107" t="s">
        <v>65</v>
      </c>
      <c r="C224" s="107"/>
      <c r="D224" s="63">
        <v>70</v>
      </c>
      <c r="E224" s="63">
        <v>51.62</v>
      </c>
      <c r="F224" s="63">
        <v>9.6010000000000009</v>
      </c>
      <c r="G224" s="63">
        <v>8.2590000000000003</v>
      </c>
      <c r="H224" s="63">
        <v>0</v>
      </c>
      <c r="I224" s="63">
        <v>112.73</v>
      </c>
      <c r="J224" s="96">
        <v>0</v>
      </c>
      <c r="K224" s="136"/>
      <c r="L224" s="114">
        <v>368.17</v>
      </c>
      <c r="M224" s="68">
        <f t="shared" ref="M224:M229" si="18">SUM(L224*D224)/1000</f>
        <v>25.771900000000002</v>
      </c>
    </row>
    <row r="225" spans="1:13" x14ac:dyDescent="0.25">
      <c r="A225" s="782"/>
      <c r="B225" s="107" t="s">
        <v>40</v>
      </c>
      <c r="C225" s="107"/>
      <c r="D225" s="63">
        <v>12.3</v>
      </c>
      <c r="E225" s="63">
        <v>12.3</v>
      </c>
      <c r="F225" s="63">
        <v>0.94299999999999995</v>
      </c>
      <c r="G225" s="63">
        <v>0.36699999999999999</v>
      </c>
      <c r="H225" s="63">
        <v>6.1</v>
      </c>
      <c r="I225" s="63">
        <v>32.094999999999999</v>
      </c>
      <c r="J225" s="96">
        <v>0</v>
      </c>
      <c r="K225" s="152"/>
      <c r="L225" s="114">
        <v>35</v>
      </c>
      <c r="M225" s="68">
        <f t="shared" si="18"/>
        <v>0.43049999999999999</v>
      </c>
    </row>
    <row r="226" spans="1:13" x14ac:dyDescent="0.25">
      <c r="A226" s="782"/>
      <c r="B226" s="107" t="s">
        <v>66</v>
      </c>
      <c r="C226" s="107"/>
      <c r="D226" s="63">
        <v>11.2</v>
      </c>
      <c r="E226" s="63">
        <v>11.2</v>
      </c>
      <c r="F226" s="63">
        <v>0.46500000000000002</v>
      </c>
      <c r="G226" s="63">
        <v>0.53100000000000003</v>
      </c>
      <c r="H226" s="63">
        <v>0.78100000000000003</v>
      </c>
      <c r="I226" s="63">
        <v>9.6389999999999993</v>
      </c>
      <c r="J226" s="96">
        <v>0.216</v>
      </c>
      <c r="K226" s="152"/>
      <c r="L226" s="114">
        <v>43.22</v>
      </c>
      <c r="M226" s="68">
        <f t="shared" si="18"/>
        <v>0.48406399999999994</v>
      </c>
    </row>
    <row r="227" spans="1:13" x14ac:dyDescent="0.25">
      <c r="A227" s="782"/>
      <c r="B227" s="116" t="s">
        <v>67</v>
      </c>
      <c r="C227" s="107"/>
      <c r="D227" s="63"/>
      <c r="E227" s="63"/>
      <c r="F227" s="63"/>
      <c r="G227" s="63"/>
      <c r="H227" s="63"/>
      <c r="I227" s="63"/>
      <c r="J227" s="96"/>
      <c r="K227" s="152"/>
      <c r="L227" s="114">
        <v>0</v>
      </c>
      <c r="M227" s="68">
        <f t="shared" si="18"/>
        <v>0</v>
      </c>
    </row>
    <row r="228" spans="1:13" x14ac:dyDescent="0.25">
      <c r="A228" s="782"/>
      <c r="B228" s="107" t="s">
        <v>32</v>
      </c>
      <c r="C228" s="107"/>
      <c r="D228" s="63">
        <v>6</v>
      </c>
      <c r="E228" s="63">
        <v>5</v>
      </c>
      <c r="F228" s="63">
        <v>7.0000000000000007E-2</v>
      </c>
      <c r="G228" s="63">
        <v>0</v>
      </c>
      <c r="H228" s="63">
        <v>0.41</v>
      </c>
      <c r="I228" s="63">
        <v>2.0499999999999998</v>
      </c>
      <c r="J228" s="96">
        <v>0</v>
      </c>
      <c r="K228" s="152"/>
      <c r="L228" s="114">
        <v>21.98</v>
      </c>
      <c r="M228" s="68">
        <f t="shared" si="18"/>
        <v>0.13188</v>
      </c>
    </row>
    <row r="229" spans="1:13" x14ac:dyDescent="0.25">
      <c r="A229" s="782"/>
      <c r="B229" s="107" t="s">
        <v>112</v>
      </c>
      <c r="C229" s="107"/>
      <c r="D229" s="63">
        <v>0.5</v>
      </c>
      <c r="E229" s="63">
        <v>0.5</v>
      </c>
      <c r="F229" s="63">
        <v>0</v>
      </c>
      <c r="G229" s="63">
        <v>0</v>
      </c>
      <c r="H229" s="63">
        <v>0</v>
      </c>
      <c r="I229" s="63">
        <v>0</v>
      </c>
      <c r="J229" s="96">
        <v>0</v>
      </c>
      <c r="K229" s="152"/>
      <c r="L229" s="114">
        <v>92.2</v>
      </c>
      <c r="M229" s="68">
        <f t="shared" si="18"/>
        <v>4.6100000000000002E-2</v>
      </c>
    </row>
    <row r="230" spans="1:13" x14ac:dyDescent="0.25">
      <c r="A230" s="782"/>
      <c r="B230" s="107" t="s">
        <v>388</v>
      </c>
      <c r="C230" s="107"/>
      <c r="D230" s="195">
        <v>4</v>
      </c>
      <c r="E230" s="63">
        <v>4</v>
      </c>
      <c r="F230" s="63">
        <v>3.2000000000000001E-2</v>
      </c>
      <c r="G230" s="63">
        <v>2.9</v>
      </c>
      <c r="H230" s="63">
        <v>5.1999999999999998E-2</v>
      </c>
      <c r="I230" s="63">
        <v>26.4</v>
      </c>
      <c r="J230" s="96">
        <v>0</v>
      </c>
      <c r="K230" s="152"/>
      <c r="L230" s="114">
        <v>4.6900000000000004</v>
      </c>
      <c r="M230" s="68">
        <f>SUM(L230*D230)/40</f>
        <v>0.46900000000000003</v>
      </c>
    </row>
    <row r="231" spans="1:13" x14ac:dyDescent="0.25">
      <c r="A231" s="782"/>
      <c r="B231" s="107" t="s">
        <v>68</v>
      </c>
      <c r="C231" s="107"/>
      <c r="D231" s="63">
        <v>7</v>
      </c>
      <c r="E231" s="63">
        <v>7</v>
      </c>
      <c r="F231" s="63">
        <v>0</v>
      </c>
      <c r="G231" s="63">
        <v>0</v>
      </c>
      <c r="H231" s="63">
        <v>0</v>
      </c>
      <c r="I231" s="63">
        <v>0</v>
      </c>
      <c r="J231" s="96">
        <v>0</v>
      </c>
      <c r="K231" s="152"/>
      <c r="L231" s="114">
        <v>60.5</v>
      </c>
      <c r="M231" s="68">
        <f>SUM(L231*D231)/1000</f>
        <v>0.42349999999999999</v>
      </c>
    </row>
    <row r="232" spans="1:13" x14ac:dyDescent="0.25">
      <c r="A232" s="782"/>
      <c r="B232" s="107" t="s">
        <v>288</v>
      </c>
      <c r="C232" s="107"/>
      <c r="D232" s="63">
        <v>5</v>
      </c>
      <c r="E232" s="63">
        <v>5</v>
      </c>
      <c r="F232" s="63">
        <v>0.04</v>
      </c>
      <c r="G232" s="63">
        <v>3.625</v>
      </c>
      <c r="H232" s="63">
        <v>6.5000000000000002E-2</v>
      </c>
      <c r="I232" s="63">
        <v>33.049999999999997</v>
      </c>
      <c r="J232" s="96">
        <v>0</v>
      </c>
      <c r="K232" s="152"/>
      <c r="L232" s="114">
        <v>92.2</v>
      </c>
      <c r="M232" s="68">
        <f>SUM(L232*D232)/1000</f>
        <v>0.46100000000000002</v>
      </c>
    </row>
    <row r="233" spans="1:13" x14ac:dyDescent="0.25">
      <c r="A233" s="782"/>
      <c r="B233" s="107"/>
      <c r="C233" s="107"/>
      <c r="D233" s="63"/>
      <c r="E233" s="63"/>
      <c r="F233" s="118">
        <f>SUM(F224:F232)</f>
        <v>11.151</v>
      </c>
      <c r="G233" s="118">
        <f>SUM(G224:G232)</f>
        <v>15.682000000000002</v>
      </c>
      <c r="H233" s="118">
        <f>SUM(H224:H232)</f>
        <v>7.4079999999999995</v>
      </c>
      <c r="I233" s="118">
        <f>SUM(I224:I232)</f>
        <v>215.964</v>
      </c>
      <c r="J233" s="119">
        <f>SUM(J224:J232)</f>
        <v>0.216</v>
      </c>
      <c r="K233" s="156"/>
      <c r="L233" s="79"/>
      <c r="M233" s="300">
        <f>SUM(M224:M232)</f>
        <v>28.217943999999999</v>
      </c>
    </row>
    <row r="234" spans="1:13" x14ac:dyDescent="0.25">
      <c r="A234" s="782"/>
      <c r="B234" s="338" t="s">
        <v>289</v>
      </c>
      <c r="C234" s="341">
        <v>120</v>
      </c>
      <c r="D234" s="340"/>
      <c r="E234" s="340"/>
      <c r="F234" s="536">
        <f>F235+F236+F237+F238+F239+F240+F241+F242+F243+F244</f>
        <v>4.2063999999999995</v>
      </c>
      <c r="G234" s="536">
        <f>G235+G236+G237+G238+G239+G240+G241+G242+G243+G244</f>
        <v>6.25</v>
      </c>
      <c r="H234" s="536">
        <f>H235+H236+H237+H238+H239+H240+H241+H242+H243+H244</f>
        <v>16.784599999999998</v>
      </c>
      <c r="I234" s="536">
        <f>I235+I236+I237+I238+I239+I240+I241+I242+I243+I244</f>
        <v>142.036</v>
      </c>
      <c r="J234" s="536">
        <f>J235+J236+J237+J238+J239+J240+J241+J242+J243+J244</f>
        <v>97.905000000000015</v>
      </c>
      <c r="K234" s="486" t="s">
        <v>290</v>
      </c>
      <c r="L234" s="65"/>
      <c r="M234" s="64"/>
    </row>
    <row r="235" spans="1:13" x14ac:dyDescent="0.25">
      <c r="A235" s="782"/>
      <c r="B235" s="342" t="s">
        <v>236</v>
      </c>
      <c r="C235" s="343"/>
      <c r="D235" s="340">
        <v>170.4</v>
      </c>
      <c r="E235" s="340">
        <v>136.80000000000001</v>
      </c>
      <c r="F235" s="340">
        <v>3.8</v>
      </c>
      <c r="G235" s="340">
        <v>0.21</v>
      </c>
      <c r="H235" s="340">
        <v>10.01</v>
      </c>
      <c r="I235" s="345">
        <v>59.6</v>
      </c>
      <c r="J235" s="346">
        <v>95.9</v>
      </c>
      <c r="K235" s="486"/>
      <c r="L235" s="114">
        <v>21.89</v>
      </c>
      <c r="M235" s="68">
        <f>SUM(L235*D235)/1000</f>
        <v>3.7300560000000003</v>
      </c>
    </row>
    <row r="236" spans="1:13" x14ac:dyDescent="0.25">
      <c r="A236" s="782"/>
      <c r="B236" s="342" t="s">
        <v>240</v>
      </c>
      <c r="C236" s="343"/>
      <c r="D236" s="340">
        <v>2.9</v>
      </c>
      <c r="E236" s="340">
        <v>2.9</v>
      </c>
      <c r="F236" s="340">
        <f>4.8*E236/100</f>
        <v>0.13919999999999999</v>
      </c>
      <c r="G236" s="340">
        <v>0</v>
      </c>
      <c r="H236" s="340">
        <f>19*E236/100</f>
        <v>0.55100000000000005</v>
      </c>
      <c r="I236" s="345">
        <f>102*E236/100</f>
        <v>2.9580000000000002</v>
      </c>
      <c r="J236" s="346">
        <f>45*E236/100</f>
        <v>1.3049999999999999</v>
      </c>
      <c r="K236" s="486"/>
      <c r="L236" s="114">
        <v>43.22</v>
      </c>
      <c r="M236" s="68">
        <f>SUM(L236*D236)/1000</f>
        <v>0.125338</v>
      </c>
    </row>
    <row r="237" spans="1:13" x14ac:dyDescent="0.25">
      <c r="A237" s="782"/>
      <c r="B237" s="342" t="s">
        <v>239</v>
      </c>
      <c r="C237" s="343"/>
      <c r="D237" s="340">
        <v>6</v>
      </c>
      <c r="E237" s="340">
        <v>4.8</v>
      </c>
      <c r="F237" s="340">
        <f>1.4*E237/100</f>
        <v>6.7199999999999996E-2</v>
      </c>
      <c r="G237" s="340">
        <v>0</v>
      </c>
      <c r="H237" s="340">
        <f>8.2*E237/100</f>
        <v>0.39359999999999995</v>
      </c>
      <c r="I237" s="345">
        <f>41*E237/100</f>
        <v>1.9679999999999997</v>
      </c>
      <c r="J237" s="346">
        <f>10*E237/100</f>
        <v>0.48</v>
      </c>
      <c r="K237" s="486"/>
      <c r="L237" s="144">
        <v>376.98</v>
      </c>
      <c r="M237" s="68">
        <f>SUM(L237*D237)/1000</f>
        <v>2.2618800000000001</v>
      </c>
    </row>
    <row r="238" spans="1:13" x14ac:dyDescent="0.25">
      <c r="A238" s="782"/>
      <c r="B238" s="342" t="s">
        <v>238</v>
      </c>
      <c r="C238" s="343"/>
      <c r="D238" s="340">
        <v>3.6</v>
      </c>
      <c r="E238" s="340">
        <v>3</v>
      </c>
      <c r="F238" s="340">
        <v>0.05</v>
      </c>
      <c r="G238" s="340">
        <v>0.04</v>
      </c>
      <c r="H238" s="340">
        <v>0.31</v>
      </c>
      <c r="I238" s="345">
        <v>1.6</v>
      </c>
      <c r="J238" s="346">
        <v>0.22</v>
      </c>
      <c r="K238" s="486"/>
      <c r="L238" s="114">
        <v>16.62</v>
      </c>
      <c r="M238" s="68">
        <v>0</v>
      </c>
    </row>
    <row r="239" spans="1:13" x14ac:dyDescent="0.25">
      <c r="A239" s="782"/>
      <c r="B239" s="402" t="s">
        <v>291</v>
      </c>
      <c r="C239" s="354"/>
      <c r="D239" s="340">
        <v>1.2</v>
      </c>
      <c r="E239" s="340">
        <v>1.2</v>
      </c>
      <c r="F239" s="340">
        <v>0.15</v>
      </c>
      <c r="G239" s="340">
        <v>0.01</v>
      </c>
      <c r="H239" s="340">
        <v>1.03</v>
      </c>
      <c r="I239" s="345">
        <v>5.01</v>
      </c>
      <c r="J239" s="346">
        <v>0</v>
      </c>
      <c r="K239" s="486"/>
      <c r="L239" s="114"/>
      <c r="M239" s="68"/>
    </row>
    <row r="240" spans="1:13" x14ac:dyDescent="0.25">
      <c r="A240" s="782"/>
      <c r="B240" s="407" t="s">
        <v>241</v>
      </c>
      <c r="C240" s="408"/>
      <c r="D240" s="391">
        <v>4.8</v>
      </c>
      <c r="E240" s="340">
        <v>4.8</v>
      </c>
      <c r="F240" s="391">
        <v>0</v>
      </c>
      <c r="G240" s="391">
        <v>5.99</v>
      </c>
      <c r="H240" s="391">
        <v>0</v>
      </c>
      <c r="I240" s="392">
        <v>53.9</v>
      </c>
      <c r="J240" s="393">
        <v>0</v>
      </c>
      <c r="K240" s="487"/>
      <c r="L240" s="114"/>
      <c r="M240" s="68"/>
    </row>
    <row r="241" spans="1:13" x14ac:dyDescent="0.25">
      <c r="A241" s="782"/>
      <c r="B241" s="407" t="s">
        <v>231</v>
      </c>
      <c r="C241" s="408"/>
      <c r="D241" s="391">
        <v>0.4</v>
      </c>
      <c r="E241" s="340">
        <v>0.4</v>
      </c>
      <c r="F241" s="391">
        <v>0</v>
      </c>
      <c r="G241" s="391">
        <v>0</v>
      </c>
      <c r="H241" s="391">
        <v>0</v>
      </c>
      <c r="I241" s="392">
        <v>0</v>
      </c>
      <c r="J241" s="393">
        <v>0</v>
      </c>
      <c r="K241" s="487"/>
      <c r="L241" s="114"/>
      <c r="M241" s="68"/>
    </row>
    <row r="242" spans="1:13" x14ac:dyDescent="0.25">
      <c r="A242" s="782"/>
      <c r="B242" s="407" t="s">
        <v>242</v>
      </c>
      <c r="C242" s="408"/>
      <c r="D242" s="391">
        <v>0.01</v>
      </c>
      <c r="E242" s="340">
        <v>0.01</v>
      </c>
      <c r="F242" s="391">
        <v>0</v>
      </c>
      <c r="G242" s="391">
        <v>0</v>
      </c>
      <c r="H242" s="391">
        <v>0</v>
      </c>
      <c r="I242" s="392">
        <v>0</v>
      </c>
      <c r="J242" s="393">
        <v>0</v>
      </c>
      <c r="K242" s="487"/>
      <c r="L242" s="114"/>
      <c r="M242" s="68"/>
    </row>
    <row r="243" spans="1:13" x14ac:dyDescent="0.25">
      <c r="A243" s="782"/>
      <c r="B243" s="407" t="s">
        <v>292</v>
      </c>
      <c r="C243" s="408"/>
      <c r="D243" s="391">
        <v>3.6</v>
      </c>
      <c r="E243" s="340">
        <v>3.6</v>
      </c>
      <c r="F243" s="391">
        <v>0</v>
      </c>
      <c r="G243" s="391">
        <v>0</v>
      </c>
      <c r="H243" s="391">
        <v>4.49</v>
      </c>
      <c r="I243" s="392">
        <v>17</v>
      </c>
      <c r="J243" s="393">
        <v>0</v>
      </c>
      <c r="K243" s="487"/>
      <c r="L243" s="114"/>
      <c r="M243" s="68"/>
    </row>
    <row r="244" spans="1:13" x14ac:dyDescent="0.25">
      <c r="A244" s="782"/>
      <c r="B244" s="407" t="s">
        <v>293</v>
      </c>
      <c r="C244" s="408"/>
      <c r="D244" s="391">
        <v>3.6</v>
      </c>
      <c r="E244" s="340">
        <v>3.6</v>
      </c>
      <c r="F244" s="391">
        <v>0</v>
      </c>
      <c r="G244" s="391">
        <v>0</v>
      </c>
      <c r="H244" s="391">
        <v>0</v>
      </c>
      <c r="I244" s="392">
        <v>0</v>
      </c>
      <c r="J244" s="393">
        <v>0</v>
      </c>
      <c r="K244" s="487"/>
      <c r="L244" s="114"/>
      <c r="M244" s="68"/>
    </row>
    <row r="245" spans="1:13" ht="15" hidden="1" customHeight="1" x14ac:dyDescent="0.25">
      <c r="A245" s="782"/>
      <c r="B245" s="116"/>
      <c r="C245" s="107"/>
      <c r="D245" s="63"/>
      <c r="E245" s="63"/>
      <c r="F245" s="118">
        <f>SUM(F235:F238)</f>
        <v>4.0563999999999991</v>
      </c>
      <c r="G245" s="118">
        <f>SUM(G235:G238)</f>
        <v>0.25</v>
      </c>
      <c r="H245" s="118">
        <f>SUM(H235:H238)</f>
        <v>11.2646</v>
      </c>
      <c r="I245" s="118">
        <f>SUM(I235:I238)</f>
        <v>66.125999999999991</v>
      </c>
      <c r="J245" s="119">
        <f>SUM(J235:J238)</f>
        <v>97.905000000000015</v>
      </c>
      <c r="K245" s="156"/>
      <c r="L245" s="65"/>
      <c r="M245" s="72">
        <f>SUM(M235:M238)</f>
        <v>6.1172740000000001</v>
      </c>
    </row>
    <row r="246" spans="1:13" ht="15" hidden="1" customHeight="1" x14ac:dyDescent="0.25">
      <c r="A246" s="782"/>
      <c r="B246" s="177"/>
      <c r="C246" s="178"/>
      <c r="D246" s="52"/>
      <c r="E246" s="52"/>
      <c r="F246" s="51"/>
      <c r="G246" s="51"/>
      <c r="H246" s="51"/>
      <c r="I246" s="51"/>
      <c r="J246" s="53"/>
      <c r="K246" s="125"/>
      <c r="L246" s="65"/>
      <c r="M246" s="64">
        <f t="shared" ref="M246:M257" si="19">SUM(L246*D246)/1000</f>
        <v>0</v>
      </c>
    </row>
    <row r="247" spans="1:13" ht="15" hidden="1" customHeight="1" x14ac:dyDescent="0.25">
      <c r="A247" s="782"/>
      <c r="B247" s="157"/>
      <c r="C247" s="157"/>
      <c r="D247" s="51"/>
      <c r="E247" s="51"/>
      <c r="F247" s="51"/>
      <c r="G247" s="51"/>
      <c r="H247" s="51"/>
      <c r="I247" s="51"/>
      <c r="J247" s="53"/>
      <c r="K247" s="126"/>
      <c r="L247" s="65"/>
      <c r="M247" s="64">
        <f t="shared" si="19"/>
        <v>0</v>
      </c>
    </row>
    <row r="248" spans="1:13" ht="15" hidden="1" customHeight="1" x14ac:dyDescent="0.25">
      <c r="A248" s="782"/>
      <c r="B248" s="157"/>
      <c r="C248" s="157"/>
      <c r="D248" s="51"/>
      <c r="E248" s="51"/>
      <c r="F248" s="51"/>
      <c r="G248" s="51"/>
      <c r="H248" s="51"/>
      <c r="I248" s="51"/>
      <c r="J248" s="53"/>
      <c r="K248" s="126"/>
      <c r="L248" s="65"/>
      <c r="M248" s="64">
        <f t="shared" si="19"/>
        <v>0</v>
      </c>
    </row>
    <row r="249" spans="1:13" ht="15" hidden="1" customHeight="1" x14ac:dyDescent="0.25">
      <c r="A249" s="782"/>
      <c r="B249" s="157"/>
      <c r="C249" s="157"/>
      <c r="D249" s="51"/>
      <c r="E249" s="51"/>
      <c r="F249" s="51"/>
      <c r="G249" s="51"/>
      <c r="H249" s="51"/>
      <c r="I249" s="51"/>
      <c r="J249" s="53"/>
      <c r="K249" s="126"/>
      <c r="L249" s="65"/>
      <c r="M249" s="64">
        <f t="shared" si="19"/>
        <v>0</v>
      </c>
    </row>
    <row r="250" spans="1:13" ht="15" hidden="1" customHeight="1" x14ac:dyDescent="0.25">
      <c r="A250" s="782"/>
      <c r="B250" s="157"/>
      <c r="C250" s="157"/>
      <c r="D250" s="51"/>
      <c r="E250" s="51"/>
      <c r="F250" s="52"/>
      <c r="G250" s="52"/>
      <c r="H250" s="52"/>
      <c r="I250" s="52"/>
      <c r="J250" s="179"/>
      <c r="K250" s="156"/>
      <c r="L250" s="65"/>
      <c r="M250" s="64">
        <f t="shared" si="19"/>
        <v>0</v>
      </c>
    </row>
    <row r="251" spans="1:13" ht="15" hidden="1" customHeight="1" x14ac:dyDescent="0.25">
      <c r="A251" s="782"/>
      <c r="B251" s="177"/>
      <c r="C251" s="178"/>
      <c r="D251" s="52"/>
      <c r="E251" s="52"/>
      <c r="F251" s="51"/>
      <c r="G251" s="51"/>
      <c r="H251" s="51"/>
      <c r="I251" s="51"/>
      <c r="J251" s="53"/>
      <c r="K251" s="125"/>
      <c r="L251" s="65"/>
      <c r="M251" s="64">
        <f t="shared" si="19"/>
        <v>0</v>
      </c>
    </row>
    <row r="252" spans="1:13" ht="15" hidden="1" customHeight="1" x14ac:dyDescent="0.25">
      <c r="A252" s="782"/>
      <c r="B252" s="177"/>
      <c r="C252" s="178"/>
      <c r="D252" s="52"/>
      <c r="E252" s="52"/>
      <c r="F252" s="51"/>
      <c r="G252" s="51"/>
      <c r="H252" s="51"/>
      <c r="I252" s="51"/>
      <c r="J252" s="53"/>
      <c r="K252" s="125"/>
      <c r="L252" s="65"/>
      <c r="M252" s="64">
        <f t="shared" si="19"/>
        <v>0</v>
      </c>
    </row>
    <row r="253" spans="1:13" ht="15" hidden="1" customHeight="1" x14ac:dyDescent="0.25">
      <c r="A253" s="782"/>
      <c r="B253" s="157"/>
      <c r="C253" s="157"/>
      <c r="D253" s="51"/>
      <c r="E253" s="51"/>
      <c r="F253" s="51"/>
      <c r="G253" s="51"/>
      <c r="H253" s="51"/>
      <c r="I253" s="51"/>
      <c r="J253" s="53"/>
      <c r="K253" s="126"/>
      <c r="L253" s="65"/>
      <c r="M253" s="64">
        <f t="shared" si="19"/>
        <v>0</v>
      </c>
    </row>
    <row r="254" spans="1:13" ht="15" hidden="1" customHeight="1" x14ac:dyDescent="0.25">
      <c r="A254" s="782"/>
      <c r="B254" s="157"/>
      <c r="C254" s="157"/>
      <c r="D254" s="51"/>
      <c r="E254" s="51"/>
      <c r="F254" s="51"/>
      <c r="G254" s="51"/>
      <c r="H254" s="51"/>
      <c r="I254" s="51"/>
      <c r="J254" s="53"/>
      <c r="K254" s="126"/>
      <c r="L254" s="65"/>
      <c r="M254" s="64">
        <f t="shared" si="19"/>
        <v>0</v>
      </c>
    </row>
    <row r="255" spans="1:13" ht="15" hidden="1" customHeight="1" x14ac:dyDescent="0.25">
      <c r="A255" s="782"/>
      <c r="B255" s="157"/>
      <c r="C255" s="157"/>
      <c r="D255" s="51"/>
      <c r="E255" s="51"/>
      <c r="F255" s="51"/>
      <c r="G255" s="51"/>
      <c r="H255" s="51"/>
      <c r="I255" s="51"/>
      <c r="J255" s="53"/>
      <c r="K255" s="126"/>
      <c r="L255" s="65"/>
      <c r="M255" s="64">
        <f t="shared" si="19"/>
        <v>0</v>
      </c>
    </row>
    <row r="256" spans="1:13" ht="15" hidden="1" customHeight="1" x14ac:dyDescent="0.25">
      <c r="A256" s="782"/>
      <c r="B256" s="157"/>
      <c r="C256" s="157"/>
      <c r="D256" s="51"/>
      <c r="E256" s="51"/>
      <c r="F256" s="51"/>
      <c r="G256" s="51"/>
      <c r="H256" s="51"/>
      <c r="I256" s="51"/>
      <c r="J256" s="53"/>
      <c r="K256" s="126"/>
      <c r="L256" s="65"/>
      <c r="M256" s="64">
        <f t="shared" si="19"/>
        <v>0</v>
      </c>
    </row>
    <row r="257" spans="1:13" ht="15" hidden="1" customHeight="1" x14ac:dyDescent="0.25">
      <c r="A257" s="782"/>
      <c r="B257" s="177"/>
      <c r="C257" s="178"/>
      <c r="D257" s="52"/>
      <c r="E257" s="52"/>
      <c r="F257" s="52"/>
      <c r="G257" s="52"/>
      <c r="H257" s="52"/>
      <c r="I257" s="52"/>
      <c r="J257" s="179"/>
      <c r="K257" s="156"/>
      <c r="L257" s="65"/>
      <c r="M257" s="64">
        <f t="shared" si="19"/>
        <v>0</v>
      </c>
    </row>
    <row r="258" spans="1:13" x14ac:dyDescent="0.25">
      <c r="A258" s="782"/>
      <c r="B258" s="177"/>
      <c r="C258" s="178"/>
      <c r="D258" s="52"/>
      <c r="E258" s="52"/>
      <c r="F258" s="118">
        <f>SUM(F235:F244)</f>
        <v>4.2063999999999995</v>
      </c>
      <c r="G258" s="118">
        <f>SUM(G248:G251)</f>
        <v>0</v>
      </c>
      <c r="H258" s="118">
        <f>SUM(H248:H251)</f>
        <v>0</v>
      </c>
      <c r="I258" s="118">
        <f>SUM(I248:I251)</f>
        <v>0</v>
      </c>
      <c r="J258" s="119">
        <f>SUM(J248:J251)</f>
        <v>0</v>
      </c>
      <c r="K258" s="156"/>
      <c r="L258" s="65"/>
      <c r="M258" s="72">
        <f>SUM(M248:M251)</f>
        <v>0</v>
      </c>
    </row>
    <row r="259" spans="1:13" x14ac:dyDescent="0.25">
      <c r="A259" s="782"/>
      <c r="B259" s="177"/>
      <c r="C259" s="178"/>
      <c r="D259" s="52"/>
      <c r="E259" s="52"/>
      <c r="F259" s="52"/>
      <c r="G259" s="52"/>
      <c r="H259" s="52"/>
      <c r="I259" s="52"/>
      <c r="J259" s="179"/>
      <c r="K259" s="156"/>
      <c r="L259" s="65"/>
      <c r="M259" s="64"/>
    </row>
    <row r="260" spans="1:13" x14ac:dyDescent="0.25">
      <c r="A260" s="782"/>
      <c r="B260" s="138" t="s">
        <v>180</v>
      </c>
      <c r="C260" s="124">
        <v>180</v>
      </c>
      <c r="D260" s="13"/>
      <c r="E260" s="13"/>
      <c r="F260" s="63"/>
      <c r="G260" s="63"/>
      <c r="H260" s="63"/>
      <c r="I260" s="63"/>
      <c r="J260" s="96"/>
      <c r="K260" s="108" t="s">
        <v>181</v>
      </c>
      <c r="L260" s="65"/>
      <c r="M260" s="64"/>
    </row>
    <row r="261" spans="1:13" ht="19.5" customHeight="1" x14ac:dyDescent="0.25">
      <c r="A261" s="782"/>
      <c r="B261" s="107" t="s">
        <v>182</v>
      </c>
      <c r="C261" s="107"/>
      <c r="D261" s="63">
        <v>18</v>
      </c>
      <c r="E261" s="63" t="s">
        <v>183</v>
      </c>
      <c r="F261" s="63">
        <v>0.93600000000000005</v>
      </c>
      <c r="G261" s="63">
        <v>5.3999999999999999E-2</v>
      </c>
      <c r="H261" s="63">
        <v>9.18</v>
      </c>
      <c r="I261" s="63">
        <v>41.76</v>
      </c>
      <c r="J261" s="96">
        <v>0.72</v>
      </c>
      <c r="K261" s="136"/>
      <c r="L261" s="114">
        <v>100</v>
      </c>
      <c r="M261" s="64">
        <f>SUM(L261*D261)/1000</f>
        <v>1.8</v>
      </c>
    </row>
    <row r="262" spans="1:13" x14ac:dyDescent="0.25">
      <c r="A262" s="782"/>
      <c r="B262" s="107" t="s">
        <v>38</v>
      </c>
      <c r="C262" s="107"/>
      <c r="D262" s="63">
        <v>14.4</v>
      </c>
      <c r="E262" s="63">
        <v>14.4</v>
      </c>
      <c r="F262" s="63">
        <v>0</v>
      </c>
      <c r="G262" s="63">
        <v>0</v>
      </c>
      <c r="H262" s="63">
        <v>14.371</v>
      </c>
      <c r="I262" s="63">
        <v>54.576000000000001</v>
      </c>
      <c r="J262" s="96">
        <v>0</v>
      </c>
      <c r="K262" s="136"/>
      <c r="L262" s="114">
        <v>50.7</v>
      </c>
      <c r="M262" s="68">
        <f>SUM(L262*D262)/1000</f>
        <v>0.73008000000000006</v>
      </c>
    </row>
    <row r="263" spans="1:13" x14ac:dyDescent="0.25">
      <c r="A263" s="782"/>
      <c r="B263" s="107" t="s">
        <v>19</v>
      </c>
      <c r="C263" s="107"/>
      <c r="D263" s="63">
        <v>182.7</v>
      </c>
      <c r="E263" s="63">
        <v>182.7</v>
      </c>
      <c r="F263" s="63">
        <v>0</v>
      </c>
      <c r="G263" s="63">
        <v>0</v>
      </c>
      <c r="H263" s="63">
        <v>0</v>
      </c>
      <c r="I263" s="63">
        <v>0</v>
      </c>
      <c r="J263" s="96">
        <v>0</v>
      </c>
      <c r="K263" s="136"/>
      <c r="L263" s="114">
        <v>0</v>
      </c>
      <c r="M263" s="64">
        <f>SUM(L263*D263)/1000</f>
        <v>0</v>
      </c>
    </row>
    <row r="264" spans="1:13" x14ac:dyDescent="0.25">
      <c r="A264" s="782"/>
      <c r="B264" s="107"/>
      <c r="C264" s="107"/>
      <c r="D264" s="63"/>
      <c r="E264" s="63"/>
      <c r="F264" s="118">
        <f>SUM(F261:F263)</f>
        <v>0.93600000000000005</v>
      </c>
      <c r="G264" s="118">
        <f t="shared" ref="G264:J264" si="20">SUM(G261:G263)</f>
        <v>5.3999999999999999E-2</v>
      </c>
      <c r="H264" s="118">
        <f t="shared" si="20"/>
        <v>23.551000000000002</v>
      </c>
      <c r="I264" s="118">
        <f t="shared" si="20"/>
        <v>96.335999999999999</v>
      </c>
      <c r="J264" s="118">
        <f t="shared" si="20"/>
        <v>0.72</v>
      </c>
      <c r="K264" s="153"/>
      <c r="L264" s="47"/>
      <c r="M264" s="72">
        <f>SUM(M261:M263)</f>
        <v>2.5300799999999999</v>
      </c>
    </row>
    <row r="265" spans="1:13" x14ac:dyDescent="0.25">
      <c r="A265" s="782"/>
      <c r="B265" s="109" t="s">
        <v>39</v>
      </c>
      <c r="C265" s="124">
        <v>40</v>
      </c>
      <c r="D265" s="63">
        <v>40</v>
      </c>
      <c r="E265" s="63">
        <v>40</v>
      </c>
      <c r="F265" s="118">
        <v>3.3</v>
      </c>
      <c r="G265" s="118">
        <v>0.6</v>
      </c>
      <c r="H265" s="118">
        <v>17.100000000000001</v>
      </c>
      <c r="I265" s="118">
        <v>90.5</v>
      </c>
      <c r="J265" s="139">
        <v>0</v>
      </c>
      <c r="K265" s="153" t="s">
        <v>73</v>
      </c>
      <c r="L265" s="114">
        <v>40</v>
      </c>
      <c r="M265" s="72">
        <f>SUM(L265*D265)/1000</f>
        <v>1.6</v>
      </c>
    </row>
    <row r="266" spans="1:13" x14ac:dyDescent="0.25">
      <c r="A266" s="782"/>
      <c r="B266" s="109" t="s">
        <v>40</v>
      </c>
      <c r="C266" s="124">
        <v>40</v>
      </c>
      <c r="D266" s="63">
        <v>40</v>
      </c>
      <c r="E266" s="63">
        <v>40</v>
      </c>
      <c r="F266" s="118">
        <v>3.85</v>
      </c>
      <c r="G266" s="118">
        <v>1.5</v>
      </c>
      <c r="H266" s="118">
        <v>24.9</v>
      </c>
      <c r="I266" s="118">
        <v>131</v>
      </c>
      <c r="J266" s="139">
        <v>0</v>
      </c>
      <c r="K266" s="153" t="s">
        <v>73</v>
      </c>
      <c r="L266" s="114">
        <v>35</v>
      </c>
      <c r="M266" s="72">
        <f>SUM(L266*D266)/1000</f>
        <v>1.4</v>
      </c>
    </row>
    <row r="267" spans="1:13" x14ac:dyDescent="0.25">
      <c r="A267" s="783"/>
      <c r="B267" s="124" t="s">
        <v>74</v>
      </c>
      <c r="C267" s="124"/>
      <c r="D267" s="63"/>
      <c r="E267" s="63"/>
      <c r="F267" s="142">
        <f>SUM(F222,F232,F244,F264:F266,)</f>
        <v>10.374000000000001</v>
      </c>
      <c r="G267" s="142">
        <f>SUM(G222,G232,G244,G264:G266,)</f>
        <v>8.1050000000000004</v>
      </c>
      <c r="H267" s="142">
        <f>SUM(H222,H232,H244,H264:H266,)</f>
        <v>82.18</v>
      </c>
      <c r="I267" s="142">
        <f>SUM(I222,I232,I244,I264:I266,)</f>
        <v>445.48199999999997</v>
      </c>
      <c r="J267" s="143">
        <f>SUM(J222,J232,J244,J264:J266,)</f>
        <v>13.920000000000002</v>
      </c>
      <c r="K267" s="158"/>
      <c r="L267" s="65"/>
      <c r="M267" s="71">
        <f>SUM(M222,M232,M244,M264:M266)</f>
        <v>30.174860000000002</v>
      </c>
    </row>
    <row r="268" spans="1:13" ht="18" customHeight="1" x14ac:dyDescent="0.25">
      <c r="A268" s="5" t="s">
        <v>75</v>
      </c>
      <c r="B268" s="13"/>
      <c r="C268" s="4"/>
      <c r="D268" s="105"/>
      <c r="E268" s="106"/>
      <c r="F268" s="180"/>
      <c r="G268" s="180"/>
      <c r="H268" s="180"/>
      <c r="I268" s="180"/>
      <c r="J268" s="181"/>
      <c r="K268" s="182"/>
      <c r="L268" s="65"/>
      <c r="M268" s="64"/>
    </row>
    <row r="269" spans="1:13" ht="61.5" customHeight="1" x14ac:dyDescent="0.25">
      <c r="A269" s="781"/>
      <c r="B269" s="124" t="s">
        <v>360</v>
      </c>
      <c r="C269" s="124">
        <v>150</v>
      </c>
      <c r="D269" s="107"/>
      <c r="E269" s="107"/>
      <c r="F269" s="107">
        <f>SUM(F270:F272)</f>
        <v>13.669050000000002</v>
      </c>
      <c r="G269" s="107">
        <f>SUM(G270:G272)</f>
        <v>6.6736500000000003</v>
      </c>
      <c r="H269" s="107">
        <f>SUM(H270:H272)</f>
        <v>91.277100000000004</v>
      </c>
      <c r="I269" s="107">
        <f>SUM(I270:I272)</f>
        <v>488.97299999999996</v>
      </c>
      <c r="J269" s="107">
        <f>SUM(J270:J272)</f>
        <v>0</v>
      </c>
      <c r="K269" s="107" t="s">
        <v>93</v>
      </c>
      <c r="L269" s="65"/>
      <c r="M269" s="64"/>
    </row>
    <row r="270" spans="1:13" ht="30" x14ac:dyDescent="0.25">
      <c r="A270" s="782"/>
      <c r="B270" s="107" t="s">
        <v>361</v>
      </c>
      <c r="C270" s="107"/>
      <c r="D270" s="107">
        <v>132.15</v>
      </c>
      <c r="E270" s="107">
        <v>132.15</v>
      </c>
      <c r="F270" s="124">
        <f>10.3*E270/100</f>
        <v>13.611450000000001</v>
      </c>
      <c r="G270" s="124">
        <f>1.1*E270/100</f>
        <v>1.4536500000000001</v>
      </c>
      <c r="H270" s="124">
        <f>69*E270/100</f>
        <v>91.183500000000009</v>
      </c>
      <c r="I270" s="124">
        <f>334*E270/100</f>
        <v>441.38099999999997</v>
      </c>
      <c r="J270" s="124">
        <v>0</v>
      </c>
      <c r="K270" s="107"/>
      <c r="L270" s="233">
        <v>27</v>
      </c>
      <c r="M270" s="68">
        <f>SUM(L270*D270)/1000</f>
        <v>3.5680500000000004</v>
      </c>
    </row>
    <row r="271" spans="1:13" x14ac:dyDescent="0.25">
      <c r="A271" s="782"/>
      <c r="B271" s="107" t="s">
        <v>362</v>
      </c>
      <c r="C271" s="107"/>
      <c r="D271" s="107">
        <v>7.2</v>
      </c>
      <c r="E271" s="107">
        <v>7.2</v>
      </c>
      <c r="F271" s="107">
        <f>0.8*E271/100</f>
        <v>5.7600000000000005E-2</v>
      </c>
      <c r="G271" s="107">
        <f>72.5*E271/100</f>
        <v>5.22</v>
      </c>
      <c r="H271" s="107">
        <f>1.3*E271/100</f>
        <v>9.3600000000000017E-2</v>
      </c>
      <c r="I271" s="107">
        <f>661*E271/100</f>
        <v>47.591999999999999</v>
      </c>
      <c r="J271" s="107">
        <v>0</v>
      </c>
      <c r="K271" s="107"/>
      <c r="L271" s="233">
        <v>50</v>
      </c>
      <c r="M271" s="68">
        <f>SUM(L271*D271)/1000</f>
        <v>0.36</v>
      </c>
    </row>
    <row r="272" spans="1:13" x14ac:dyDescent="0.25">
      <c r="A272" s="782"/>
      <c r="B272" s="107" t="s">
        <v>231</v>
      </c>
      <c r="C272" s="107"/>
      <c r="D272" s="107">
        <v>0.75</v>
      </c>
      <c r="E272" s="107">
        <v>0.75</v>
      </c>
      <c r="F272" s="107">
        <v>0</v>
      </c>
      <c r="G272" s="107">
        <v>0</v>
      </c>
      <c r="H272" s="107">
        <v>0</v>
      </c>
      <c r="I272" s="107">
        <v>0</v>
      </c>
      <c r="J272" s="107">
        <v>0</v>
      </c>
      <c r="K272" s="107"/>
      <c r="L272" s="233">
        <v>310</v>
      </c>
      <c r="M272" s="68">
        <f>SUM(L272*D272)/1000</f>
        <v>0.23250000000000001</v>
      </c>
    </row>
    <row r="273" spans="1:13" ht="15" hidden="1" customHeight="1" x14ac:dyDescent="0.25">
      <c r="A273" s="782"/>
      <c r="B273" s="107"/>
      <c r="C273" s="107"/>
      <c r="D273" s="107"/>
      <c r="E273" s="107"/>
      <c r="F273" s="107"/>
      <c r="G273" s="107"/>
      <c r="H273" s="107"/>
      <c r="I273" s="107"/>
      <c r="J273" s="107"/>
      <c r="K273" s="107"/>
      <c r="L273" s="233"/>
      <c r="M273" s="68"/>
    </row>
    <row r="274" spans="1:13" ht="15" hidden="1" customHeight="1" x14ac:dyDescent="0.25">
      <c r="A274" s="782"/>
      <c r="B274" s="107"/>
      <c r="C274" s="107"/>
      <c r="D274" s="107"/>
      <c r="E274" s="107"/>
      <c r="F274" s="107"/>
      <c r="G274" s="107"/>
      <c r="H274" s="107"/>
      <c r="I274" s="107"/>
      <c r="J274" s="107"/>
      <c r="K274" s="107"/>
      <c r="L274" s="233"/>
      <c r="M274" s="68"/>
    </row>
    <row r="275" spans="1:13" ht="15" hidden="1" customHeight="1" x14ac:dyDescent="0.25">
      <c r="A275" s="782"/>
      <c r="B275" s="107"/>
      <c r="C275" s="107"/>
      <c r="D275" s="107"/>
      <c r="E275" s="107"/>
      <c r="F275" s="107"/>
      <c r="G275" s="107"/>
      <c r="H275" s="107"/>
      <c r="I275" s="107"/>
      <c r="J275" s="107"/>
      <c r="K275" s="107"/>
      <c r="L275" s="233"/>
      <c r="M275" s="68"/>
    </row>
    <row r="276" spans="1:13" ht="15" hidden="1" customHeight="1" x14ac:dyDescent="0.25">
      <c r="A276" s="782"/>
      <c r="B276" s="107"/>
      <c r="C276" s="107"/>
      <c r="D276" s="107"/>
      <c r="E276" s="107"/>
      <c r="F276" s="107"/>
      <c r="G276" s="107"/>
      <c r="H276" s="107"/>
      <c r="I276" s="107"/>
      <c r="J276" s="107"/>
      <c r="K276" s="107"/>
      <c r="L276" s="233"/>
      <c r="M276" s="68"/>
    </row>
    <row r="277" spans="1:13" ht="15" hidden="1" customHeight="1" x14ac:dyDescent="0.25">
      <c r="A277" s="782"/>
      <c r="B277" s="107"/>
      <c r="C277" s="107"/>
      <c r="D277" s="107"/>
      <c r="E277" s="107"/>
      <c r="F277" s="107"/>
      <c r="G277" s="107"/>
      <c r="H277" s="107"/>
      <c r="I277" s="107"/>
      <c r="J277" s="107"/>
      <c r="K277" s="107"/>
      <c r="L277" s="233"/>
      <c r="M277" s="68"/>
    </row>
    <row r="278" spans="1:13" ht="15" hidden="1" customHeight="1" x14ac:dyDescent="0.25">
      <c r="A278" s="782"/>
      <c r="B278" s="107"/>
      <c r="C278" s="107"/>
      <c r="D278" s="107"/>
      <c r="E278" s="107"/>
      <c r="F278" s="107"/>
      <c r="G278" s="107"/>
      <c r="H278" s="107"/>
      <c r="I278" s="107"/>
      <c r="J278" s="107"/>
      <c r="K278" s="107"/>
      <c r="L278" s="233"/>
      <c r="M278" s="68"/>
    </row>
    <row r="279" spans="1:13" ht="15" hidden="1" customHeight="1" x14ac:dyDescent="0.25">
      <c r="A279" s="782"/>
      <c r="B279" s="107"/>
      <c r="C279" s="107"/>
      <c r="D279" s="107"/>
      <c r="E279" s="107"/>
      <c r="F279" s="107"/>
      <c r="G279" s="107"/>
      <c r="H279" s="107"/>
      <c r="I279" s="107"/>
      <c r="J279" s="107"/>
      <c r="K279" s="107"/>
      <c r="L279" s="233"/>
      <c r="M279" s="68"/>
    </row>
    <row r="280" spans="1:13" ht="15" hidden="1" customHeight="1" x14ac:dyDescent="0.25">
      <c r="A280" s="782"/>
      <c r="B280" s="107"/>
      <c r="C280" s="107"/>
      <c r="D280" s="107"/>
      <c r="E280" s="107"/>
      <c r="F280" s="107"/>
      <c r="G280" s="107"/>
      <c r="H280" s="107"/>
      <c r="I280" s="107"/>
      <c r="J280" s="107"/>
      <c r="K280" s="107"/>
      <c r="L280" s="233"/>
      <c r="M280" s="68"/>
    </row>
    <row r="281" spans="1:13" ht="14.25" hidden="1" customHeight="1" x14ac:dyDescent="0.25">
      <c r="A281" s="782"/>
      <c r="B281" s="107"/>
      <c r="C281" s="107"/>
      <c r="D281" s="107"/>
      <c r="E281" s="107"/>
      <c r="F281" s="107"/>
      <c r="G281" s="107"/>
      <c r="H281" s="107"/>
      <c r="I281" s="107"/>
      <c r="J281" s="107"/>
      <c r="K281" s="107"/>
      <c r="L281" s="233"/>
      <c r="M281" s="68"/>
    </row>
    <row r="282" spans="1:13" ht="15" hidden="1" customHeight="1" x14ac:dyDescent="0.25">
      <c r="A282" s="782"/>
      <c r="B282" s="107"/>
      <c r="C282" s="107"/>
      <c r="D282" s="107"/>
      <c r="E282" s="107"/>
      <c r="F282" s="107"/>
      <c r="G282" s="107"/>
      <c r="H282" s="107"/>
      <c r="I282" s="107"/>
      <c r="J282" s="107"/>
      <c r="K282" s="107"/>
      <c r="L282" s="233"/>
      <c r="M282" s="68"/>
    </row>
    <row r="283" spans="1:13" ht="15" hidden="1" customHeight="1" x14ac:dyDescent="0.25">
      <c r="A283" s="782"/>
      <c r="B283" s="107"/>
      <c r="C283" s="107"/>
      <c r="D283" s="107"/>
      <c r="E283" s="107"/>
      <c r="F283" s="107"/>
      <c r="G283" s="107"/>
      <c r="H283" s="107"/>
      <c r="I283" s="107"/>
      <c r="J283" s="107"/>
      <c r="K283" s="107"/>
      <c r="L283" s="233"/>
      <c r="M283" s="68"/>
    </row>
    <row r="284" spans="1:13" ht="15" hidden="1" customHeight="1" x14ac:dyDescent="0.25">
      <c r="A284" s="782"/>
      <c r="B284" s="107"/>
      <c r="C284" s="107"/>
      <c r="D284" s="107"/>
      <c r="E284" s="107"/>
      <c r="F284" s="107"/>
      <c r="G284" s="107"/>
      <c r="H284" s="107"/>
      <c r="I284" s="107"/>
      <c r="J284" s="107"/>
      <c r="K284" s="107"/>
      <c r="L284" s="233"/>
      <c r="M284" s="68"/>
    </row>
    <row r="285" spans="1:13" ht="15" hidden="1" customHeight="1" x14ac:dyDescent="0.25">
      <c r="A285" s="782"/>
      <c r="B285" s="107"/>
      <c r="C285" s="107"/>
      <c r="D285" s="107"/>
      <c r="E285" s="107"/>
      <c r="F285" s="107"/>
      <c r="G285" s="107"/>
      <c r="H285" s="107"/>
      <c r="I285" s="107"/>
      <c r="J285" s="107"/>
      <c r="K285" s="107"/>
      <c r="L285" s="233"/>
      <c r="M285" s="68"/>
    </row>
    <row r="286" spans="1:13" ht="15" hidden="1" customHeight="1" x14ac:dyDescent="0.25">
      <c r="A286" s="782"/>
      <c r="B286" s="107"/>
      <c r="C286" s="107"/>
      <c r="D286" s="107"/>
      <c r="E286" s="107"/>
      <c r="F286" s="107"/>
      <c r="G286" s="107"/>
      <c r="H286" s="107"/>
      <c r="I286" s="107"/>
      <c r="J286" s="107"/>
      <c r="K286" s="107"/>
      <c r="L286" s="233"/>
      <c r="M286" s="68"/>
    </row>
    <row r="287" spans="1:13" ht="15" hidden="1" customHeight="1" x14ac:dyDescent="0.25">
      <c r="A287" s="782"/>
      <c r="B287" s="107"/>
      <c r="C287" s="107"/>
      <c r="D287" s="107"/>
      <c r="E287" s="107"/>
      <c r="F287" s="107"/>
      <c r="G287" s="107"/>
      <c r="H287" s="107"/>
      <c r="I287" s="107"/>
      <c r="J287" s="107"/>
      <c r="K287" s="107"/>
      <c r="L287" s="65"/>
      <c r="M287" s="72"/>
    </row>
    <row r="288" spans="1:13" ht="15" hidden="1" customHeight="1" x14ac:dyDescent="0.25">
      <c r="A288" s="782"/>
      <c r="B288" s="107"/>
      <c r="C288" s="107"/>
      <c r="D288" s="107"/>
      <c r="E288" s="107"/>
      <c r="F288" s="107"/>
      <c r="G288" s="107"/>
      <c r="H288" s="107"/>
      <c r="I288" s="107"/>
      <c r="J288" s="107"/>
      <c r="K288" s="107"/>
      <c r="L288" s="65"/>
      <c r="M288" s="64">
        <f t="shared" ref="M288:M293" si="21">SUM(L288*D288)/1000</f>
        <v>0</v>
      </c>
    </row>
    <row r="289" spans="1:13" ht="15" hidden="1" customHeight="1" x14ac:dyDescent="0.25">
      <c r="A289" s="782"/>
      <c r="B289" s="107"/>
      <c r="C289" s="107"/>
      <c r="D289" s="107"/>
      <c r="E289" s="107"/>
      <c r="F289" s="107"/>
      <c r="G289" s="107"/>
      <c r="H289" s="107"/>
      <c r="I289" s="107"/>
      <c r="J289" s="107"/>
      <c r="K289" s="107"/>
      <c r="L289" s="65"/>
      <c r="M289" s="64">
        <f t="shared" si="21"/>
        <v>0</v>
      </c>
    </row>
    <row r="290" spans="1:13" ht="15" hidden="1" customHeight="1" x14ac:dyDescent="0.25">
      <c r="A290" s="782"/>
      <c r="B290" s="107"/>
      <c r="C290" s="107"/>
      <c r="D290" s="107"/>
      <c r="E290" s="107"/>
      <c r="F290" s="107"/>
      <c r="G290" s="107"/>
      <c r="H290" s="107"/>
      <c r="I290" s="107"/>
      <c r="J290" s="107"/>
      <c r="K290" s="107"/>
      <c r="L290" s="65"/>
      <c r="M290" s="64">
        <f t="shared" si="21"/>
        <v>0</v>
      </c>
    </row>
    <row r="291" spans="1:13" ht="15" hidden="1" customHeight="1" x14ac:dyDescent="0.25">
      <c r="A291" s="782"/>
      <c r="B291" s="107"/>
      <c r="C291" s="107"/>
      <c r="D291" s="107"/>
      <c r="E291" s="107"/>
      <c r="F291" s="107"/>
      <c r="G291" s="107"/>
      <c r="H291" s="107"/>
      <c r="I291" s="107"/>
      <c r="J291" s="107"/>
      <c r="K291" s="107"/>
      <c r="L291" s="65"/>
      <c r="M291" s="64">
        <f t="shared" si="21"/>
        <v>0</v>
      </c>
    </row>
    <row r="292" spans="1:13" ht="15" hidden="1" customHeight="1" x14ac:dyDescent="0.25">
      <c r="A292" s="782"/>
      <c r="B292" s="107"/>
      <c r="C292" s="107"/>
      <c r="D292" s="107"/>
      <c r="E292" s="107"/>
      <c r="F292" s="107"/>
      <c r="G292" s="107"/>
      <c r="H292" s="107"/>
      <c r="I292" s="107"/>
      <c r="J292" s="107"/>
      <c r="K292" s="107"/>
      <c r="L292" s="65"/>
      <c r="M292" s="64">
        <f t="shared" si="21"/>
        <v>0</v>
      </c>
    </row>
    <row r="293" spans="1:13" ht="15" hidden="1" customHeight="1" x14ac:dyDescent="0.25">
      <c r="A293" s="782"/>
      <c r="B293" s="107" t="s">
        <v>184</v>
      </c>
      <c r="C293" s="107"/>
      <c r="D293" s="107">
        <v>30</v>
      </c>
      <c r="E293" s="107">
        <v>30</v>
      </c>
      <c r="F293" s="107"/>
      <c r="G293" s="107"/>
      <c r="H293" s="107"/>
      <c r="I293" s="107"/>
      <c r="J293" s="107"/>
      <c r="K293" s="107"/>
      <c r="L293" s="65"/>
      <c r="M293" s="64">
        <f t="shared" si="21"/>
        <v>0</v>
      </c>
    </row>
    <row r="294" spans="1:13" x14ac:dyDescent="0.25">
      <c r="A294" s="782"/>
      <c r="B294" s="124" t="s">
        <v>72</v>
      </c>
      <c r="C294" s="124" t="s">
        <v>187</v>
      </c>
      <c r="D294" s="107"/>
      <c r="E294" s="107"/>
      <c r="F294" s="107"/>
      <c r="G294" s="107"/>
      <c r="H294" s="107"/>
      <c r="I294" s="107"/>
      <c r="J294" s="107"/>
      <c r="K294" s="107" t="s">
        <v>188</v>
      </c>
      <c r="L294" s="114"/>
      <c r="M294" s="64"/>
    </row>
    <row r="295" spans="1:13" x14ac:dyDescent="0.25">
      <c r="A295" s="782"/>
      <c r="B295" s="107" t="s">
        <v>184</v>
      </c>
      <c r="C295" s="107"/>
      <c r="D295" s="107">
        <v>30</v>
      </c>
      <c r="E295" s="107">
        <v>30</v>
      </c>
      <c r="F295" s="107"/>
      <c r="G295" s="107"/>
      <c r="H295" s="107"/>
      <c r="I295" s="107"/>
      <c r="J295" s="107"/>
      <c r="K295" s="107"/>
      <c r="L295" s="114"/>
      <c r="M295" s="64"/>
    </row>
    <row r="296" spans="1:13" x14ac:dyDescent="0.25">
      <c r="A296" s="782"/>
      <c r="B296" s="107" t="s">
        <v>120</v>
      </c>
      <c r="C296" s="107"/>
      <c r="D296" s="107">
        <v>32.4</v>
      </c>
      <c r="E296" s="107">
        <v>32.4</v>
      </c>
      <c r="F296" s="107">
        <v>0</v>
      </c>
      <c r="G296" s="107">
        <v>0</v>
      </c>
      <c r="H296" s="107">
        <v>0</v>
      </c>
      <c r="I296" s="107">
        <v>0</v>
      </c>
      <c r="J296" s="107">
        <v>0</v>
      </c>
      <c r="K296" s="107"/>
      <c r="L296" s="114">
        <v>0</v>
      </c>
      <c r="M296" s="64">
        <f>SUM(L296*D296)/1000</f>
        <v>0</v>
      </c>
    </row>
    <row r="297" spans="1:13" x14ac:dyDescent="0.25">
      <c r="A297" s="782"/>
      <c r="B297" s="107" t="s">
        <v>185</v>
      </c>
      <c r="C297" s="107"/>
      <c r="D297" s="107">
        <v>0.3</v>
      </c>
      <c r="E297" s="107">
        <v>0.3</v>
      </c>
      <c r="F297" s="107">
        <v>0.06</v>
      </c>
      <c r="G297" s="107">
        <v>0</v>
      </c>
      <c r="H297" s="107">
        <v>2.07E-2</v>
      </c>
      <c r="I297" s="107">
        <v>0.45540000000000003</v>
      </c>
      <c r="J297" s="107">
        <v>0.03</v>
      </c>
      <c r="K297" s="107"/>
      <c r="L297" s="114">
        <v>375</v>
      </c>
      <c r="M297" s="64">
        <f>SUM(L297*D297)/1000</f>
        <v>0.1125</v>
      </c>
    </row>
    <row r="298" spans="1:13" x14ac:dyDescent="0.25">
      <c r="A298" s="782"/>
      <c r="B298" s="107" t="s">
        <v>49</v>
      </c>
      <c r="C298" s="107"/>
      <c r="D298" s="107">
        <v>10</v>
      </c>
      <c r="E298" s="107">
        <v>10</v>
      </c>
      <c r="F298" s="107">
        <v>0</v>
      </c>
      <c r="G298" s="107">
        <v>0</v>
      </c>
      <c r="H298" s="107">
        <v>9.98</v>
      </c>
      <c r="I298" s="107">
        <v>37.9</v>
      </c>
      <c r="J298" s="107">
        <v>0</v>
      </c>
      <c r="K298" s="107"/>
      <c r="L298" s="114">
        <v>50</v>
      </c>
      <c r="M298" s="64">
        <f>SUM(L298*D298)/1000</f>
        <v>0.5</v>
      </c>
    </row>
    <row r="299" spans="1:13" x14ac:dyDescent="0.25">
      <c r="A299" s="782"/>
      <c r="B299" s="107"/>
      <c r="C299" s="107"/>
      <c r="D299" s="107"/>
      <c r="E299" s="107"/>
      <c r="F299" s="107">
        <f>SUM(F295:F298)</f>
        <v>0.06</v>
      </c>
      <c r="G299" s="107">
        <f t="shared" ref="G299:J299" si="22">SUM(G295:G298)</f>
        <v>0</v>
      </c>
      <c r="H299" s="107">
        <f t="shared" si="22"/>
        <v>10.0007</v>
      </c>
      <c r="I299" s="107">
        <f t="shared" si="22"/>
        <v>38.355399999999996</v>
      </c>
      <c r="J299" s="107">
        <f t="shared" si="22"/>
        <v>0.03</v>
      </c>
      <c r="K299" s="107"/>
      <c r="L299" s="65"/>
      <c r="M299" s="72">
        <f>SUM(M294:M298)</f>
        <v>0.61250000000000004</v>
      </c>
    </row>
    <row r="300" spans="1:13" x14ac:dyDescent="0.25">
      <c r="A300" s="783"/>
      <c r="B300" s="124" t="s">
        <v>46</v>
      </c>
      <c r="C300" s="107"/>
      <c r="D300" s="107"/>
      <c r="E300" s="107"/>
      <c r="F300" s="622">
        <f>SUM(F287,F299)</f>
        <v>0.06</v>
      </c>
      <c r="G300" s="622">
        <f>SUM(G287,G299)</f>
        <v>0</v>
      </c>
      <c r="H300" s="622">
        <f>SUM(H287,H299)</f>
        <v>10.0007</v>
      </c>
      <c r="I300" s="622">
        <f>SUM(I287,I299)</f>
        <v>38.355399999999996</v>
      </c>
      <c r="J300" s="622">
        <f>SUM(J287,J299)</f>
        <v>0.03</v>
      </c>
      <c r="K300" s="107"/>
      <c r="L300" s="65"/>
      <c r="M300" s="71">
        <f>SUM(M287,M299)</f>
        <v>0.61250000000000004</v>
      </c>
    </row>
    <row r="301" spans="1:13" hidden="1" x14ac:dyDescent="0.25">
      <c r="A301" s="20"/>
      <c r="B301" s="52"/>
      <c r="C301" s="107"/>
      <c r="D301" s="107"/>
      <c r="E301" s="107"/>
      <c r="F301" s="107"/>
      <c r="G301" s="107"/>
      <c r="H301" s="107"/>
      <c r="I301" s="107"/>
      <c r="J301" s="107"/>
      <c r="K301" s="107"/>
      <c r="L301" s="65"/>
      <c r="M301" s="64"/>
    </row>
    <row r="302" spans="1:13" ht="15" hidden="1" customHeight="1" x14ac:dyDescent="0.25">
      <c r="A302" s="5"/>
      <c r="B302" s="271"/>
      <c r="C302" s="107"/>
      <c r="D302" s="107"/>
      <c r="E302" s="107"/>
      <c r="F302" s="107"/>
      <c r="G302" s="107"/>
      <c r="H302" s="107"/>
      <c r="I302" s="107"/>
      <c r="J302" s="107"/>
      <c r="K302" s="107"/>
      <c r="L302" s="114"/>
      <c r="M302" s="64"/>
    </row>
    <row r="303" spans="1:13" ht="15" hidden="1" customHeight="1" x14ac:dyDescent="0.25">
      <c r="A303" s="5"/>
      <c r="B303" s="107"/>
      <c r="C303" s="107"/>
      <c r="D303" s="107"/>
      <c r="E303" s="107"/>
      <c r="F303" s="107"/>
      <c r="G303" s="107"/>
      <c r="H303" s="107"/>
      <c r="I303" s="107"/>
      <c r="J303" s="107"/>
      <c r="K303" s="107"/>
      <c r="L303" s="114"/>
      <c r="M303" s="68"/>
    </row>
    <row r="304" spans="1:13" ht="15" hidden="1" customHeight="1" x14ac:dyDescent="0.25">
      <c r="A304" s="5"/>
      <c r="B304" s="107"/>
      <c r="C304" s="107"/>
      <c r="D304" s="107"/>
      <c r="E304" s="107"/>
      <c r="F304" s="107"/>
      <c r="G304" s="107"/>
      <c r="H304" s="107"/>
      <c r="I304" s="107"/>
      <c r="J304" s="107"/>
      <c r="K304" s="107"/>
      <c r="L304" s="114"/>
      <c r="M304" s="68"/>
    </row>
    <row r="305" spans="1:13" ht="15" hidden="1" customHeight="1" x14ac:dyDescent="0.25">
      <c r="A305" s="5"/>
      <c r="B305" s="107"/>
      <c r="C305" s="107"/>
      <c r="D305" s="107"/>
      <c r="E305" s="107"/>
      <c r="F305" s="107"/>
      <c r="G305" s="107"/>
      <c r="H305" s="107"/>
      <c r="I305" s="107"/>
      <c r="J305" s="107"/>
      <c r="K305" s="107"/>
      <c r="L305" s="65"/>
      <c r="M305" s="72"/>
    </row>
    <row r="306" spans="1:13" ht="15" hidden="1" customHeight="1" x14ac:dyDescent="0.25">
      <c r="A306" s="5"/>
      <c r="B306" s="271"/>
      <c r="C306" s="107"/>
      <c r="D306" s="107"/>
      <c r="E306" s="107"/>
      <c r="F306" s="107"/>
      <c r="G306" s="107"/>
      <c r="H306" s="107"/>
      <c r="I306" s="107"/>
      <c r="J306" s="107"/>
      <c r="K306" s="107"/>
      <c r="L306" s="65"/>
      <c r="M306" s="89"/>
    </row>
    <row r="307" spans="1:13" ht="15" hidden="1" customHeight="1" x14ac:dyDescent="0.25">
      <c r="A307" s="5"/>
      <c r="B307" s="107"/>
      <c r="C307" s="107"/>
      <c r="D307" s="107"/>
      <c r="E307" s="107"/>
      <c r="F307" s="107"/>
      <c r="G307" s="107"/>
      <c r="H307" s="107"/>
      <c r="I307" s="107"/>
      <c r="J307" s="107"/>
      <c r="K307" s="107"/>
      <c r="L307" s="114"/>
      <c r="M307" s="68"/>
    </row>
    <row r="308" spans="1:13" ht="15" hidden="1" customHeight="1" x14ac:dyDescent="0.25">
      <c r="A308" s="5"/>
      <c r="B308" s="107"/>
      <c r="C308" s="107"/>
      <c r="D308" s="107"/>
      <c r="E308" s="107"/>
      <c r="F308" s="107"/>
      <c r="G308" s="107"/>
      <c r="H308" s="107"/>
      <c r="I308" s="107"/>
      <c r="J308" s="107"/>
      <c r="K308" s="107"/>
      <c r="L308" s="114"/>
      <c r="M308" s="68"/>
    </row>
    <row r="309" spans="1:13" ht="15" hidden="1" customHeight="1" x14ac:dyDescent="0.25">
      <c r="A309" s="5"/>
      <c r="B309" s="107"/>
      <c r="C309" s="107"/>
      <c r="D309" s="107"/>
      <c r="E309" s="107"/>
      <c r="F309" s="107"/>
      <c r="G309" s="107"/>
      <c r="H309" s="107"/>
      <c r="I309" s="107"/>
      <c r="J309" s="107"/>
      <c r="K309" s="107"/>
      <c r="L309" s="114"/>
      <c r="M309" s="68"/>
    </row>
    <row r="310" spans="1:13" ht="15" hidden="1" customHeight="1" x14ac:dyDescent="0.25">
      <c r="A310" s="5"/>
      <c r="B310" s="107"/>
      <c r="C310" s="107"/>
      <c r="D310" s="107"/>
      <c r="E310" s="107"/>
      <c r="F310" s="107"/>
      <c r="G310" s="107"/>
      <c r="H310" s="107"/>
      <c r="I310" s="107"/>
      <c r="J310" s="107"/>
      <c r="K310" s="107"/>
      <c r="L310" s="114"/>
      <c r="M310" s="68"/>
    </row>
    <row r="311" spans="1:13" ht="15" hidden="1" customHeight="1" x14ac:dyDescent="0.25">
      <c r="A311" s="5"/>
      <c r="B311" s="107"/>
      <c r="C311" s="107"/>
      <c r="D311" s="107"/>
      <c r="E311" s="107"/>
      <c r="F311" s="107"/>
      <c r="G311" s="107"/>
      <c r="H311" s="107"/>
      <c r="I311" s="107"/>
      <c r="J311" s="107"/>
      <c r="K311" s="107"/>
      <c r="L311" s="65"/>
      <c r="M311" s="72"/>
    </row>
    <row r="312" spans="1:13" hidden="1" x14ac:dyDescent="0.25">
      <c r="A312" s="5"/>
      <c r="B312" s="124"/>
      <c r="C312" s="107"/>
      <c r="D312" s="107"/>
      <c r="E312" s="107"/>
      <c r="F312" s="107"/>
      <c r="G312" s="107"/>
      <c r="H312" s="107"/>
      <c r="I312" s="107"/>
      <c r="J312" s="107"/>
      <c r="K312" s="107"/>
      <c r="L312" s="65"/>
      <c r="M312" s="71"/>
    </row>
    <row r="313" spans="1:13" x14ac:dyDescent="0.25">
      <c r="A313" s="554" t="s">
        <v>101</v>
      </c>
      <c r="B313" s="146"/>
      <c r="C313" s="107"/>
      <c r="D313" s="107"/>
      <c r="E313" s="107"/>
      <c r="F313" s="623">
        <f>SUM(F210,F267,F300,F312)</f>
        <v>10.434000000000001</v>
      </c>
      <c r="G313" s="623">
        <f>SUM(G210,G267,G300,G312)</f>
        <v>8.1050000000000004</v>
      </c>
      <c r="H313" s="623">
        <f>SUM(H210,H267,H300,H312)</f>
        <v>92.180700000000002</v>
      </c>
      <c r="I313" s="623">
        <f>SUM(I210,I267,I300,I312)</f>
        <v>483.83739999999995</v>
      </c>
      <c r="J313" s="623">
        <f>SUM(J210,J267,J300,J312)</f>
        <v>13.950000000000001</v>
      </c>
      <c r="K313" s="107"/>
      <c r="L313" s="74"/>
      <c r="M313" s="80">
        <f>SUM(M210,M267,M300,M312)</f>
        <v>30.787360000000003</v>
      </c>
    </row>
    <row r="314" spans="1:13" x14ac:dyDescent="0.25">
      <c r="A314" s="25" t="s">
        <v>102</v>
      </c>
      <c r="B314" s="25"/>
      <c r="C314" s="52"/>
      <c r="D314" s="51"/>
      <c r="E314" s="51"/>
      <c r="F314" s="51"/>
      <c r="G314" s="51"/>
      <c r="H314" s="51"/>
      <c r="I314" s="51"/>
      <c r="J314" s="53"/>
      <c r="K314" s="126"/>
      <c r="L314" s="65"/>
      <c r="M314" s="64"/>
    </row>
    <row r="315" spans="1:13" x14ac:dyDescent="0.25">
      <c r="A315" s="26" t="s">
        <v>16</v>
      </c>
      <c r="B315" s="25"/>
      <c r="C315" s="179"/>
      <c r="D315" s="166"/>
      <c r="E315" s="167"/>
      <c r="F315" s="51"/>
      <c r="G315" s="51"/>
      <c r="H315" s="51"/>
      <c r="I315" s="51"/>
      <c r="J315" s="53"/>
      <c r="K315" s="126"/>
      <c r="L315" s="65"/>
      <c r="M315" s="64"/>
    </row>
    <row r="316" spans="1:13" ht="15" customHeight="1" x14ac:dyDescent="0.25">
      <c r="A316" s="781"/>
      <c r="B316" s="338" t="s">
        <v>270</v>
      </c>
      <c r="C316" s="363">
        <v>200</v>
      </c>
      <c r="D316" s="340"/>
      <c r="E316" s="340"/>
      <c r="F316" s="400">
        <f>F317+F318+F319+F320+F321</f>
        <v>4.7249999999999996</v>
      </c>
      <c r="G316" s="400">
        <f>G317+G318+G319+G320+G321</f>
        <v>3.335</v>
      </c>
      <c r="H316" s="400">
        <f>H317+H318+H319+H320+H321</f>
        <v>40.328000000000003</v>
      </c>
      <c r="I316" s="400">
        <f>I317+I318+I319+I320+I321</f>
        <v>209.85</v>
      </c>
      <c r="J316" s="400">
        <f>J317+J318+J319+J320+J321</f>
        <v>1.2350000000000001</v>
      </c>
      <c r="K316" s="479" t="s">
        <v>271</v>
      </c>
      <c r="L316" s="65"/>
      <c r="M316" s="64"/>
    </row>
    <row r="317" spans="1:13" x14ac:dyDescent="0.25">
      <c r="A317" s="782"/>
      <c r="B317" s="342" t="s">
        <v>272</v>
      </c>
      <c r="C317" s="343"/>
      <c r="D317" s="340">
        <v>29.5</v>
      </c>
      <c r="E317" s="340">
        <v>29.5</v>
      </c>
      <c r="F317" s="347">
        <f>7*E317/100</f>
        <v>2.0649999999999999</v>
      </c>
      <c r="G317" s="347">
        <f>1*E317/100</f>
        <v>0.29499999999999998</v>
      </c>
      <c r="H317" s="347">
        <f>71.4*E317/100</f>
        <v>21.063000000000002</v>
      </c>
      <c r="I317" s="395">
        <f>330*E317/100</f>
        <v>97.35</v>
      </c>
      <c r="J317" s="396">
        <v>0</v>
      </c>
      <c r="K317" s="480"/>
      <c r="L317" s="114">
        <v>43.22</v>
      </c>
      <c r="M317" s="68">
        <f>SUM(L317*D317)/1000</f>
        <v>1.2749900000000001</v>
      </c>
    </row>
    <row r="318" spans="1:13" x14ac:dyDescent="0.25">
      <c r="A318" s="782"/>
      <c r="B318" s="342" t="s">
        <v>228</v>
      </c>
      <c r="C318" s="354"/>
      <c r="D318" s="340">
        <v>95</v>
      </c>
      <c r="E318" s="340">
        <v>95</v>
      </c>
      <c r="F318" s="340">
        <f>2.8*E318/100</f>
        <v>2.66</v>
      </c>
      <c r="G318" s="340">
        <f>3.2*E318/100</f>
        <v>3.04</v>
      </c>
      <c r="H318" s="340">
        <f>4.7*E318/100</f>
        <v>4.4649999999999999</v>
      </c>
      <c r="I318" s="345">
        <f>58*E318/100</f>
        <v>55.1</v>
      </c>
      <c r="J318" s="346">
        <f>1.3*E318/100</f>
        <v>1.2350000000000001</v>
      </c>
      <c r="K318" s="480"/>
      <c r="L318" s="114">
        <v>0</v>
      </c>
      <c r="M318" s="68">
        <f>SUM(L318*D318)/1000</f>
        <v>0</v>
      </c>
    </row>
    <row r="319" spans="1:13" x14ac:dyDescent="0.25">
      <c r="A319" s="782"/>
      <c r="B319" s="342" t="s">
        <v>229</v>
      </c>
      <c r="C319" s="354"/>
      <c r="D319" s="340">
        <v>72</v>
      </c>
      <c r="E319" s="340">
        <v>72</v>
      </c>
      <c r="F319" s="341">
        <v>0</v>
      </c>
      <c r="G319" s="341">
        <v>0</v>
      </c>
      <c r="H319" s="341">
        <v>0</v>
      </c>
      <c r="I319" s="348">
        <v>0</v>
      </c>
      <c r="J319" s="349">
        <v>0</v>
      </c>
      <c r="K319" s="480"/>
      <c r="L319" s="114">
        <v>55.45</v>
      </c>
      <c r="M319" s="68">
        <f>SUM(L319*D319)/1000</f>
        <v>3.9923999999999999</v>
      </c>
    </row>
    <row r="320" spans="1:13" x14ac:dyDescent="0.25">
      <c r="A320" s="782"/>
      <c r="B320" s="342" t="s">
        <v>230</v>
      </c>
      <c r="C320" s="363"/>
      <c r="D320" s="340">
        <v>15</v>
      </c>
      <c r="E320" s="340">
        <v>15</v>
      </c>
      <c r="F320" s="340">
        <v>0</v>
      </c>
      <c r="G320" s="340">
        <v>0</v>
      </c>
      <c r="H320" s="340">
        <v>14.8</v>
      </c>
      <c r="I320" s="345">
        <v>57.4</v>
      </c>
      <c r="J320" s="366">
        <v>0</v>
      </c>
      <c r="K320" s="480"/>
      <c r="L320" s="144">
        <v>376.98</v>
      </c>
      <c r="M320" s="68">
        <f>SUM(L320*D320)/1000</f>
        <v>5.6547000000000009</v>
      </c>
    </row>
    <row r="321" spans="1:13" x14ac:dyDescent="0.25">
      <c r="A321" s="782"/>
      <c r="B321" s="342" t="s">
        <v>231</v>
      </c>
      <c r="C321" s="363"/>
      <c r="D321" s="340">
        <v>0.3</v>
      </c>
      <c r="E321" s="340">
        <v>0.3</v>
      </c>
      <c r="F321" s="340">
        <v>0</v>
      </c>
      <c r="G321" s="340">
        <v>0</v>
      </c>
      <c r="H321" s="340">
        <v>0</v>
      </c>
      <c r="I321" s="345">
        <v>0</v>
      </c>
      <c r="J321" s="346">
        <v>0</v>
      </c>
      <c r="K321" s="480"/>
      <c r="L321" s="114">
        <v>50.7</v>
      </c>
      <c r="M321" s="68">
        <v>0</v>
      </c>
    </row>
    <row r="322" spans="1:13" ht="15" hidden="1" customHeight="1" x14ac:dyDescent="0.25">
      <c r="A322" s="782"/>
      <c r="B322" s="96"/>
      <c r="C322" s="96"/>
      <c r="D322" s="63"/>
      <c r="E322" s="63"/>
      <c r="F322" s="59"/>
      <c r="G322" s="51"/>
      <c r="H322" s="51"/>
      <c r="I322" s="51"/>
      <c r="J322" s="53"/>
      <c r="K322" s="126"/>
      <c r="L322" s="114"/>
      <c r="M322" s="68"/>
    </row>
    <row r="323" spans="1:13" ht="15" hidden="1" customHeight="1" x14ac:dyDescent="0.25">
      <c r="A323" s="782"/>
      <c r="B323" s="96"/>
      <c r="C323" s="96"/>
      <c r="D323" s="63"/>
      <c r="E323" s="63"/>
      <c r="F323" s="59"/>
      <c r="G323" s="59"/>
      <c r="H323" s="59"/>
      <c r="I323" s="59"/>
      <c r="J323" s="191"/>
      <c r="K323" s="126"/>
      <c r="L323" s="114"/>
      <c r="M323" s="68"/>
    </row>
    <row r="324" spans="1:13" x14ac:dyDescent="0.25">
      <c r="A324" s="782"/>
      <c r="B324" s="96"/>
      <c r="C324" s="96"/>
      <c r="D324" s="63"/>
      <c r="E324" s="63"/>
      <c r="F324" s="192">
        <f>SUM(F318:F323)</f>
        <v>2.66</v>
      </c>
      <c r="G324" s="192">
        <f>SUM(G318:G323)</f>
        <v>3.04</v>
      </c>
      <c r="H324" s="192">
        <f>SUM(H318:H323)</f>
        <v>19.265000000000001</v>
      </c>
      <c r="I324" s="192">
        <f>SUM(I318:I323)</f>
        <v>112.5</v>
      </c>
      <c r="J324" s="193">
        <f>SUM(J318:J323)</f>
        <v>1.2350000000000001</v>
      </c>
      <c r="K324" s="156"/>
      <c r="L324" s="65"/>
      <c r="M324" s="72">
        <f>SUM(M318:M323)</f>
        <v>9.6471000000000018</v>
      </c>
    </row>
    <row r="325" spans="1:13" x14ac:dyDescent="0.25">
      <c r="A325" s="782"/>
      <c r="B325" s="529" t="s">
        <v>209</v>
      </c>
      <c r="C325" s="124">
        <v>45</v>
      </c>
      <c r="D325" s="13"/>
      <c r="E325" s="13"/>
      <c r="F325" s="13"/>
      <c r="G325" s="13"/>
      <c r="H325" s="13"/>
      <c r="I325" s="13"/>
      <c r="J325" s="107"/>
      <c r="K325" s="125" t="s">
        <v>210</v>
      </c>
      <c r="L325" s="65"/>
      <c r="M325" s="68"/>
    </row>
    <row r="326" spans="1:13" x14ac:dyDescent="0.25">
      <c r="A326" s="782"/>
      <c r="B326" s="107" t="s">
        <v>106</v>
      </c>
      <c r="C326" s="107"/>
      <c r="D326" s="63">
        <v>30</v>
      </c>
      <c r="E326" s="63">
        <v>30</v>
      </c>
      <c r="F326" s="63">
        <v>2.31</v>
      </c>
      <c r="G326" s="63">
        <v>0.9</v>
      </c>
      <c r="H326" s="63">
        <v>14.94</v>
      </c>
      <c r="I326" s="63">
        <v>78.599999999999994</v>
      </c>
      <c r="J326" s="96">
        <v>0</v>
      </c>
      <c r="K326" s="126"/>
      <c r="L326" s="65">
        <v>50</v>
      </c>
      <c r="M326" s="68">
        <f>SUM(D326*L326)/1000</f>
        <v>1.5</v>
      </c>
    </row>
    <row r="327" spans="1:13" x14ac:dyDescent="0.25">
      <c r="A327" s="782"/>
      <c r="B327" s="107" t="s">
        <v>211</v>
      </c>
      <c r="C327" s="107"/>
      <c r="D327" s="63">
        <v>16</v>
      </c>
      <c r="E327" s="63">
        <v>15</v>
      </c>
      <c r="F327" s="63">
        <v>3.45</v>
      </c>
      <c r="G327" s="63">
        <v>4.3499999999999996</v>
      </c>
      <c r="H327" s="63">
        <v>0</v>
      </c>
      <c r="I327" s="63">
        <v>54</v>
      </c>
      <c r="J327" s="96">
        <v>0.42</v>
      </c>
      <c r="K327" s="126"/>
      <c r="L327" s="65">
        <v>320.70999999999998</v>
      </c>
      <c r="M327" s="68">
        <f>SUM(L327*D327)/1000</f>
        <v>5.1313599999999999</v>
      </c>
    </row>
    <row r="328" spans="1:13" x14ac:dyDescent="0.25">
      <c r="A328" s="782"/>
      <c r="B328" s="107"/>
      <c r="C328" s="107"/>
      <c r="D328" s="63"/>
      <c r="E328" s="63"/>
      <c r="F328" s="118">
        <f>SUM(F326:F327)</f>
        <v>5.76</v>
      </c>
      <c r="G328" s="118">
        <f t="shared" ref="G328:J328" si="23">SUM(G326:G327)</f>
        <v>5.25</v>
      </c>
      <c r="H328" s="118">
        <f t="shared" si="23"/>
        <v>14.94</v>
      </c>
      <c r="I328" s="118">
        <f t="shared" si="23"/>
        <v>132.6</v>
      </c>
      <c r="J328" s="118">
        <f t="shared" si="23"/>
        <v>0.42</v>
      </c>
      <c r="K328" s="153"/>
      <c r="L328" s="65"/>
      <c r="M328" s="72">
        <f>SUM(M326:M327)</f>
        <v>6.6313599999999999</v>
      </c>
    </row>
    <row r="329" spans="1:13" x14ac:dyDescent="0.25">
      <c r="A329" s="782"/>
      <c r="B329" s="109" t="s">
        <v>72</v>
      </c>
      <c r="C329" s="105" t="s">
        <v>187</v>
      </c>
      <c r="D329" s="13"/>
      <c r="E329" s="13"/>
      <c r="F329" s="13"/>
      <c r="G329" s="13"/>
      <c r="H329" s="13"/>
      <c r="I329" s="13"/>
      <c r="J329" s="96"/>
      <c r="K329" s="125" t="s">
        <v>188</v>
      </c>
      <c r="L329" s="65"/>
      <c r="M329" s="82"/>
    </row>
    <row r="330" spans="1:13" x14ac:dyDescent="0.25">
      <c r="A330" s="782"/>
      <c r="B330" s="109" t="s">
        <v>184</v>
      </c>
      <c r="C330" s="124"/>
      <c r="D330" s="13">
        <v>30</v>
      </c>
      <c r="E330" s="13">
        <v>30</v>
      </c>
      <c r="F330" s="13"/>
      <c r="G330" s="13"/>
      <c r="H330" s="13"/>
      <c r="I330" s="13"/>
      <c r="J330" s="96"/>
      <c r="K330" s="125"/>
      <c r="L330" s="79"/>
      <c r="M330" s="64"/>
    </row>
    <row r="331" spans="1:13" x14ac:dyDescent="0.25">
      <c r="A331" s="782"/>
      <c r="B331" s="107" t="s">
        <v>120</v>
      </c>
      <c r="C331" s="124"/>
      <c r="D331" s="63">
        <v>32.4</v>
      </c>
      <c r="E331" s="63">
        <v>32.4</v>
      </c>
      <c r="F331" s="63">
        <v>0</v>
      </c>
      <c r="G331" s="63">
        <v>0</v>
      </c>
      <c r="H331" s="63">
        <v>0</v>
      </c>
      <c r="I331" s="63">
        <v>0</v>
      </c>
      <c r="J331" s="96">
        <v>0</v>
      </c>
      <c r="K331" s="125"/>
      <c r="L331" s="114">
        <v>0</v>
      </c>
      <c r="M331" s="68">
        <f>SUM(L331*D331)/1000</f>
        <v>0</v>
      </c>
    </row>
    <row r="332" spans="1:13" x14ac:dyDescent="0.25">
      <c r="A332" s="782"/>
      <c r="B332" s="107" t="s">
        <v>185</v>
      </c>
      <c r="C332" s="107"/>
      <c r="D332" s="63">
        <v>0.3</v>
      </c>
      <c r="E332" s="63">
        <v>0.3</v>
      </c>
      <c r="F332" s="63">
        <v>0.06</v>
      </c>
      <c r="G332" s="63">
        <v>0</v>
      </c>
      <c r="H332" s="63">
        <v>2.07E-2</v>
      </c>
      <c r="I332" s="63">
        <v>0.45540000000000003</v>
      </c>
      <c r="J332" s="96">
        <v>0.03</v>
      </c>
      <c r="K332" s="126"/>
      <c r="L332" s="114">
        <v>375</v>
      </c>
      <c r="M332" s="68">
        <f>SUM(L332*D332)/1000</f>
        <v>0.1125</v>
      </c>
    </row>
    <row r="333" spans="1:13" x14ac:dyDescent="0.25">
      <c r="A333" s="782"/>
      <c r="B333" s="107" t="s">
        <v>49</v>
      </c>
      <c r="C333" s="107"/>
      <c r="D333" s="63">
        <v>10</v>
      </c>
      <c r="E333" s="63">
        <v>10</v>
      </c>
      <c r="F333" s="63">
        <v>0</v>
      </c>
      <c r="G333" s="63">
        <v>0</v>
      </c>
      <c r="H333" s="63">
        <v>9.98</v>
      </c>
      <c r="I333" s="63">
        <v>37.9</v>
      </c>
      <c r="J333" s="96">
        <v>0</v>
      </c>
      <c r="K333" s="126"/>
      <c r="L333" s="114">
        <v>50</v>
      </c>
      <c r="M333" s="68">
        <f>SUM(L333*D333)/1000</f>
        <v>0.5</v>
      </c>
    </row>
    <row r="334" spans="1:13" x14ac:dyDescent="0.25">
      <c r="A334" s="782"/>
      <c r="B334" s="107" t="s">
        <v>19</v>
      </c>
      <c r="C334" s="107"/>
      <c r="D334" s="63">
        <v>150</v>
      </c>
      <c r="E334" s="63">
        <v>150</v>
      </c>
      <c r="F334" s="63">
        <v>0</v>
      </c>
      <c r="G334" s="63">
        <v>0</v>
      </c>
      <c r="H334" s="63">
        <v>0</v>
      </c>
      <c r="I334" s="63">
        <v>0</v>
      </c>
      <c r="J334" s="96">
        <v>0</v>
      </c>
      <c r="K334" s="126"/>
      <c r="L334" s="114">
        <v>0</v>
      </c>
      <c r="M334" s="68">
        <f>SUM(L334*D334)/1000</f>
        <v>0</v>
      </c>
    </row>
    <row r="335" spans="1:13" x14ac:dyDescent="0.25">
      <c r="A335" s="783"/>
      <c r="B335" s="107"/>
      <c r="C335" s="107"/>
      <c r="D335" s="63"/>
      <c r="E335" s="63"/>
      <c r="F335" s="274">
        <f>SUM(F330:F334)</f>
        <v>0.06</v>
      </c>
      <c r="G335" s="274">
        <f>SUM(G330:G334)</f>
        <v>0</v>
      </c>
      <c r="H335" s="274">
        <f>SUM(H330:H334)</f>
        <v>10.0007</v>
      </c>
      <c r="I335" s="274">
        <f>SUM(I330:I334)</f>
        <v>38.355399999999996</v>
      </c>
      <c r="J335" s="279">
        <f>SUM(J330:J334)</f>
        <v>0.03</v>
      </c>
      <c r="K335" s="156"/>
      <c r="L335" s="65"/>
      <c r="M335" s="72">
        <f>SUM(M330:M334)</f>
        <v>0.61250000000000004</v>
      </c>
    </row>
    <row r="336" spans="1:13" ht="15" hidden="1" customHeight="1" x14ac:dyDescent="0.25">
      <c r="A336" s="781"/>
      <c r="B336" s="138"/>
      <c r="C336" s="147"/>
      <c r="D336" s="100"/>
      <c r="E336" s="100"/>
      <c r="F336" s="148"/>
      <c r="G336" s="148"/>
      <c r="H336" s="148"/>
      <c r="I336" s="148"/>
      <c r="J336" s="149"/>
      <c r="K336" s="162"/>
      <c r="L336" s="65"/>
      <c r="M336" s="67"/>
    </row>
    <row r="337" spans="1:13" x14ac:dyDescent="0.25">
      <c r="A337" s="783"/>
      <c r="B337" s="197" t="s">
        <v>57</v>
      </c>
      <c r="C337" s="198"/>
      <c r="D337" s="63"/>
      <c r="E337" s="13"/>
      <c r="F337" s="199">
        <f>SUM(F324,F328,F335,F336)</f>
        <v>8.48</v>
      </c>
      <c r="G337" s="199">
        <f>SUM(G324,G328,G335,G336)</f>
        <v>8.2899999999999991</v>
      </c>
      <c r="H337" s="199">
        <f>SUM(H324,H328,H335,H336)</f>
        <v>44.2057</v>
      </c>
      <c r="I337" s="199">
        <f>SUM(I324,I328,I335,I336)</f>
        <v>283.4554</v>
      </c>
      <c r="J337" s="199">
        <f>SUM(J324,J328,J335,J336)</f>
        <v>1.6850000000000001</v>
      </c>
      <c r="K337" s="162"/>
      <c r="L337" s="65"/>
      <c r="M337" s="71">
        <f>SUM(M324,M328,M335,M336)</f>
        <v>16.890960000000003</v>
      </c>
    </row>
    <row r="338" spans="1:13" x14ac:dyDescent="0.25">
      <c r="A338" s="781" t="s">
        <v>208</v>
      </c>
      <c r="B338" s="138"/>
      <c r="C338" s="147"/>
      <c r="D338" s="100"/>
      <c r="E338" s="100"/>
      <c r="F338" s="148"/>
      <c r="G338" s="148"/>
      <c r="H338" s="148"/>
      <c r="I338" s="148"/>
      <c r="J338" s="149"/>
      <c r="K338" s="162"/>
      <c r="L338" s="65">
        <v>73.69</v>
      </c>
      <c r="M338" s="69">
        <f>SUM(D338*L338)/1000</f>
        <v>0</v>
      </c>
    </row>
    <row r="339" spans="1:13" x14ac:dyDescent="0.25">
      <c r="A339" s="782"/>
      <c r="B339" s="350" t="s">
        <v>348</v>
      </c>
      <c r="C339" s="339">
        <v>150</v>
      </c>
      <c r="D339" s="340">
        <v>155</v>
      </c>
      <c r="E339" s="340">
        <v>150</v>
      </c>
      <c r="F339" s="417">
        <f>2.8*E339/100</f>
        <v>4.2</v>
      </c>
      <c r="G339" s="417">
        <f>3.2*E339/100</f>
        <v>4.8</v>
      </c>
      <c r="H339" s="417">
        <f>4.7*E339/100</f>
        <v>7.05</v>
      </c>
      <c r="I339" s="418">
        <f>58*E339/100</f>
        <v>87</v>
      </c>
      <c r="J339" s="419">
        <f>1.3*E339/100</f>
        <v>1.95</v>
      </c>
      <c r="K339" s="479" t="s">
        <v>349</v>
      </c>
      <c r="L339" s="65"/>
      <c r="M339" s="282"/>
    </row>
    <row r="340" spans="1:13" x14ac:dyDescent="0.25">
      <c r="A340" s="783"/>
      <c r="B340" s="197" t="s">
        <v>57</v>
      </c>
      <c r="C340" s="106"/>
      <c r="D340" s="63"/>
      <c r="E340" s="13"/>
      <c r="F340" s="282">
        <f>SUM(F324,F330,F337:F339)</f>
        <v>15.34</v>
      </c>
      <c r="G340" s="282">
        <f t="shared" ref="G340:J340" si="24">SUM(G324,G330,G337:G339)</f>
        <v>16.13</v>
      </c>
      <c r="H340" s="282">
        <f t="shared" si="24"/>
        <v>70.520700000000005</v>
      </c>
      <c r="I340" s="282">
        <f t="shared" si="24"/>
        <v>482.9554</v>
      </c>
      <c r="J340" s="282">
        <f t="shared" si="24"/>
        <v>4.87</v>
      </c>
      <c r="K340" s="162"/>
      <c r="L340" s="65"/>
      <c r="M340" s="71"/>
    </row>
    <row r="341" spans="1:13" x14ac:dyDescent="0.25">
      <c r="A341" s="27" t="s">
        <v>107</v>
      </c>
      <c r="B341" s="200"/>
      <c r="C341" s="13"/>
      <c r="D341" s="105"/>
      <c r="E341" s="106"/>
      <c r="F341" s="63"/>
      <c r="G341" s="63"/>
      <c r="H341" s="141"/>
      <c r="I341" s="141"/>
      <c r="J341" s="168"/>
      <c r="K341" s="126"/>
      <c r="L341" s="65"/>
      <c r="M341" s="64"/>
    </row>
    <row r="342" spans="1:13" ht="29.25" x14ac:dyDescent="0.25">
      <c r="A342" s="781"/>
      <c r="B342" s="351" t="s">
        <v>233</v>
      </c>
      <c r="C342" s="339">
        <v>200</v>
      </c>
      <c r="D342" s="352"/>
      <c r="E342" s="340"/>
      <c r="F342" s="341" t="s">
        <v>48</v>
      </c>
      <c r="G342" s="341" t="s">
        <v>48</v>
      </c>
      <c r="H342" s="341" t="s">
        <v>48</v>
      </c>
      <c r="I342" s="341" t="s">
        <v>48</v>
      </c>
      <c r="J342" s="341" t="s">
        <v>48</v>
      </c>
      <c r="K342" s="481" t="s">
        <v>157</v>
      </c>
      <c r="L342" s="65"/>
      <c r="M342" s="64"/>
    </row>
    <row r="343" spans="1:13" x14ac:dyDescent="0.25">
      <c r="A343" s="782"/>
      <c r="B343" s="353" t="s">
        <v>235</v>
      </c>
      <c r="C343" s="343"/>
      <c r="D343" s="340">
        <v>34</v>
      </c>
      <c r="E343" s="340">
        <v>27.3</v>
      </c>
      <c r="F343" s="340">
        <f>1.5*E343/100</f>
        <v>0.40950000000000003</v>
      </c>
      <c r="G343" s="340">
        <f>0.1*E343/100</f>
        <v>2.7300000000000005E-2</v>
      </c>
      <c r="H343" s="340">
        <f>8.8*E343/100</f>
        <v>2.4024000000000005</v>
      </c>
      <c r="I343" s="345">
        <f>42*E343/100</f>
        <v>11.466000000000001</v>
      </c>
      <c r="J343" s="346">
        <f>10*E343/100</f>
        <v>2.73</v>
      </c>
      <c r="K343" s="480"/>
      <c r="L343" s="114">
        <v>25.38</v>
      </c>
      <c r="M343" s="68">
        <f t="shared" ref="M343:M353" si="25">SUM(L343*D343)/1000</f>
        <v>0.86291999999999991</v>
      </c>
    </row>
    <row r="344" spans="1:13" x14ac:dyDescent="0.25">
      <c r="A344" s="782"/>
      <c r="B344" s="353" t="s">
        <v>236</v>
      </c>
      <c r="C344" s="343"/>
      <c r="D344" s="340">
        <v>17.3</v>
      </c>
      <c r="E344" s="340">
        <v>14</v>
      </c>
      <c r="F344" s="340">
        <f>1.8*E344/100</f>
        <v>0.252</v>
      </c>
      <c r="G344" s="340">
        <f>0.1*E344/100</f>
        <v>1.4000000000000002E-2</v>
      </c>
      <c r="H344" s="340">
        <f>4.7*E344/100</f>
        <v>0.65799999999999992</v>
      </c>
      <c r="I344" s="345">
        <f>28*E344/100</f>
        <v>3.92</v>
      </c>
      <c r="J344" s="346">
        <f>45*E344/100</f>
        <v>6.3</v>
      </c>
      <c r="K344" s="480"/>
      <c r="L344" s="114">
        <v>21.89</v>
      </c>
      <c r="M344" s="68">
        <f t="shared" si="25"/>
        <v>0.37869700000000001</v>
      </c>
    </row>
    <row r="345" spans="1:13" x14ac:dyDescent="0.25">
      <c r="A345" s="782"/>
      <c r="B345" s="353" t="s">
        <v>237</v>
      </c>
      <c r="C345" s="343"/>
      <c r="D345" s="340">
        <v>31.3</v>
      </c>
      <c r="E345" s="340">
        <v>23.3</v>
      </c>
      <c r="F345" s="340">
        <f>2*E345/100</f>
        <v>0.46600000000000003</v>
      </c>
      <c r="G345" s="340">
        <f>0.4*E345/100</f>
        <v>9.3200000000000005E-2</v>
      </c>
      <c r="H345" s="340">
        <f>16.3*E345/100</f>
        <v>3.7979000000000003</v>
      </c>
      <c r="I345" s="345">
        <f>77*E345/100</f>
        <v>17.941000000000003</v>
      </c>
      <c r="J345" s="346">
        <f>20*E345/100</f>
        <v>4.66</v>
      </c>
      <c r="K345" s="480"/>
      <c r="L345" s="114">
        <v>21.98</v>
      </c>
      <c r="M345" s="68">
        <f t="shared" si="25"/>
        <v>0.68797400000000009</v>
      </c>
    </row>
    <row r="346" spans="1:13" x14ac:dyDescent="0.25">
      <c r="A346" s="782"/>
      <c r="B346" s="353" t="s">
        <v>238</v>
      </c>
      <c r="C346" s="343"/>
      <c r="D346" s="340">
        <v>13.3</v>
      </c>
      <c r="E346" s="340">
        <v>10</v>
      </c>
      <c r="F346" s="340">
        <f>1.3*E346/100</f>
        <v>0.13</v>
      </c>
      <c r="G346" s="340">
        <v>0</v>
      </c>
      <c r="H346" s="340">
        <f>6.9*E346/100</f>
        <v>0.69</v>
      </c>
      <c r="I346" s="345">
        <f>35*E346/100</f>
        <v>3.5</v>
      </c>
      <c r="J346" s="346">
        <f>5*E346/100</f>
        <v>0.5</v>
      </c>
      <c r="K346" s="480"/>
      <c r="L346" s="114">
        <v>38.5</v>
      </c>
      <c r="M346" s="68">
        <f t="shared" si="25"/>
        <v>0.51205000000000012</v>
      </c>
    </row>
    <row r="347" spans="1:13" x14ac:dyDescent="0.25">
      <c r="A347" s="782"/>
      <c r="B347" s="353" t="s">
        <v>239</v>
      </c>
      <c r="C347" s="354"/>
      <c r="D347" s="340">
        <v>10</v>
      </c>
      <c r="E347" s="340">
        <v>8</v>
      </c>
      <c r="F347" s="340">
        <f>1.4*E347/100</f>
        <v>0.11199999999999999</v>
      </c>
      <c r="G347" s="340">
        <v>0</v>
      </c>
      <c r="H347" s="340">
        <f>8.2*E347/100</f>
        <v>0.65599999999999992</v>
      </c>
      <c r="I347" s="345">
        <f>41*E347/100</f>
        <v>3.28</v>
      </c>
      <c r="J347" s="346">
        <f>10*E347/100</f>
        <v>0.8</v>
      </c>
      <c r="K347" s="480"/>
      <c r="L347" s="114">
        <v>120</v>
      </c>
      <c r="M347" s="68">
        <f t="shared" si="25"/>
        <v>1.2</v>
      </c>
    </row>
    <row r="348" spans="1:13" x14ac:dyDescent="0.25">
      <c r="A348" s="782"/>
      <c r="B348" s="353" t="s">
        <v>240</v>
      </c>
      <c r="C348" s="343"/>
      <c r="D348" s="340">
        <v>2.7</v>
      </c>
      <c r="E348" s="340">
        <v>2.7</v>
      </c>
      <c r="F348" s="340">
        <f>4.8*E348/100</f>
        <v>0.12960000000000002</v>
      </c>
      <c r="G348" s="340">
        <v>0</v>
      </c>
      <c r="H348" s="340">
        <f>19*E348/100</f>
        <v>0.51300000000000001</v>
      </c>
      <c r="I348" s="345">
        <f>102*E348/100</f>
        <v>2.7540000000000004</v>
      </c>
      <c r="J348" s="346">
        <f>45*E348/100</f>
        <v>1.2150000000000001</v>
      </c>
      <c r="K348" s="480"/>
      <c r="L348" s="114">
        <v>92.2</v>
      </c>
      <c r="M348" s="68">
        <f t="shared" si="25"/>
        <v>0.24894000000000002</v>
      </c>
    </row>
    <row r="349" spans="1:13" x14ac:dyDescent="0.25">
      <c r="A349" s="782"/>
      <c r="B349" s="353" t="s">
        <v>241</v>
      </c>
      <c r="C349" s="343"/>
      <c r="D349" s="340">
        <v>4</v>
      </c>
      <c r="E349" s="340">
        <v>4</v>
      </c>
      <c r="F349" s="340">
        <v>0</v>
      </c>
      <c r="G349" s="340">
        <f>99.9*E349/100</f>
        <v>3.9960000000000004</v>
      </c>
      <c r="H349" s="355">
        <v>0</v>
      </c>
      <c r="I349" s="356">
        <f>899*E349/100</f>
        <v>35.96</v>
      </c>
      <c r="J349" s="346">
        <v>0</v>
      </c>
      <c r="K349" s="480"/>
      <c r="L349" s="114">
        <v>50.7</v>
      </c>
      <c r="M349" s="68">
        <f t="shared" si="25"/>
        <v>0.20280000000000001</v>
      </c>
    </row>
    <row r="350" spans="1:13" x14ac:dyDescent="0.25">
      <c r="A350" s="782"/>
      <c r="B350" s="353" t="s">
        <v>230</v>
      </c>
      <c r="C350" s="339"/>
      <c r="D350" s="340">
        <v>2</v>
      </c>
      <c r="E350" s="340">
        <v>2</v>
      </c>
      <c r="F350" s="340">
        <v>0</v>
      </c>
      <c r="G350" s="340">
        <v>0</v>
      </c>
      <c r="H350" s="340">
        <v>15</v>
      </c>
      <c r="I350" s="340">
        <v>56.9</v>
      </c>
      <c r="J350" s="346">
        <v>0</v>
      </c>
      <c r="K350" s="480"/>
      <c r="L350" s="114">
        <v>16.62</v>
      </c>
      <c r="M350" s="68">
        <f t="shared" si="25"/>
        <v>3.3239999999999999E-2</v>
      </c>
    </row>
    <row r="351" spans="1:13" x14ac:dyDescent="0.25">
      <c r="A351" s="782"/>
      <c r="B351" s="353" t="s">
        <v>231</v>
      </c>
      <c r="C351" s="354"/>
      <c r="D351" s="340">
        <v>1.2</v>
      </c>
      <c r="E351" s="340">
        <v>1.2</v>
      </c>
      <c r="F351" s="340">
        <v>0</v>
      </c>
      <c r="G351" s="340">
        <v>0</v>
      </c>
      <c r="H351" s="340">
        <v>0</v>
      </c>
      <c r="I351" s="345">
        <v>0</v>
      </c>
      <c r="J351" s="346">
        <v>0</v>
      </c>
      <c r="K351" s="480"/>
      <c r="L351" s="114">
        <v>550</v>
      </c>
      <c r="M351" s="68">
        <f t="shared" si="25"/>
        <v>0.66</v>
      </c>
    </row>
    <row r="352" spans="1:13" x14ac:dyDescent="0.25">
      <c r="A352" s="782"/>
      <c r="B352" s="353" t="s">
        <v>242</v>
      </c>
      <c r="C352" s="354"/>
      <c r="D352" s="340">
        <v>7.0000000000000001E-3</v>
      </c>
      <c r="E352" s="340">
        <v>7.0000000000000001E-3</v>
      </c>
      <c r="F352" s="340">
        <v>0</v>
      </c>
      <c r="G352" s="340">
        <v>0</v>
      </c>
      <c r="H352" s="340">
        <v>0</v>
      </c>
      <c r="I352" s="345">
        <v>0</v>
      </c>
      <c r="J352" s="346">
        <v>0</v>
      </c>
      <c r="K352" s="480"/>
      <c r="L352" s="114">
        <v>153</v>
      </c>
      <c r="M352" s="68">
        <f t="shared" si="25"/>
        <v>1.0709999999999999E-3</v>
      </c>
    </row>
    <row r="353" spans="1:13" x14ac:dyDescent="0.25">
      <c r="A353" s="782"/>
      <c r="B353" s="353" t="s">
        <v>243</v>
      </c>
      <c r="C353" s="354"/>
      <c r="D353" s="340">
        <v>160</v>
      </c>
      <c r="E353" s="340">
        <v>160</v>
      </c>
      <c r="F353" s="340">
        <v>0</v>
      </c>
      <c r="G353" s="340">
        <v>0</v>
      </c>
      <c r="H353" s="340">
        <v>0</v>
      </c>
      <c r="I353" s="345">
        <v>0</v>
      </c>
      <c r="J353" s="346">
        <v>0</v>
      </c>
      <c r="K353" s="480"/>
      <c r="L353" s="114">
        <v>0</v>
      </c>
      <c r="M353" s="68">
        <f t="shared" si="25"/>
        <v>0</v>
      </c>
    </row>
    <row r="354" spans="1:13" x14ac:dyDescent="0.25">
      <c r="A354" s="782"/>
      <c r="B354" s="353" t="s">
        <v>244</v>
      </c>
      <c r="C354" s="354"/>
      <c r="D354" s="352">
        <v>4</v>
      </c>
      <c r="E354" s="357">
        <v>4</v>
      </c>
      <c r="F354" s="340">
        <f>2.5*E354/100</f>
        <v>0.1</v>
      </c>
      <c r="G354" s="340">
        <f>15*E354/100</f>
        <v>0.6</v>
      </c>
      <c r="H354" s="340">
        <f>3.4*E354/100</f>
        <v>0.13600000000000001</v>
      </c>
      <c r="I354" s="345">
        <f>206*E354/100</f>
        <v>8.24</v>
      </c>
      <c r="J354" s="346">
        <f>0.3*E354/100</f>
        <v>1.2E-2</v>
      </c>
      <c r="K354" s="480"/>
      <c r="L354" s="114"/>
      <c r="M354" s="68"/>
    </row>
    <row r="355" spans="1:13" x14ac:dyDescent="0.25">
      <c r="A355" s="782"/>
      <c r="B355" s="117"/>
      <c r="C355" s="117"/>
      <c r="D355" s="100"/>
      <c r="E355" s="100"/>
      <c r="F355" s="118">
        <f>SUM(F343:F354)</f>
        <v>1.5991</v>
      </c>
      <c r="G355" s="118">
        <f t="shared" ref="G355:J355" si="26">SUM(G343:G354)</f>
        <v>4.7305000000000001</v>
      </c>
      <c r="H355" s="118">
        <f t="shared" si="26"/>
        <v>23.853300000000001</v>
      </c>
      <c r="I355" s="118">
        <f t="shared" si="26"/>
        <v>143.96100000000001</v>
      </c>
      <c r="J355" s="118">
        <f t="shared" si="26"/>
        <v>16.217000000000002</v>
      </c>
      <c r="K355" s="156"/>
      <c r="L355" s="47"/>
      <c r="M355" s="72">
        <f>SUM(M343:M353)</f>
        <v>4.7876919999999998</v>
      </c>
    </row>
    <row r="356" spans="1:13" x14ac:dyDescent="0.25">
      <c r="A356" s="782"/>
      <c r="B356" s="555" t="s">
        <v>123</v>
      </c>
      <c r="C356" s="556">
        <v>200</v>
      </c>
      <c r="D356" s="557"/>
      <c r="E356" s="557"/>
      <c r="F356" s="552">
        <f>F357+F358+F359+F360+F361+F362+F363+F364</f>
        <v>16.765200000000004</v>
      </c>
      <c r="G356" s="552">
        <f>G357+G358+G359+G360+G361+G362+G363+G364</f>
        <v>19.882000000000001</v>
      </c>
      <c r="H356" s="552">
        <f>H357+H358+H359+H360+H361+H362+H363+H364</f>
        <v>16.178999999999998</v>
      </c>
      <c r="I356" s="552">
        <f>I357+I358+I359+I360+I361+I362+I363+I364</f>
        <v>311.96799999999996</v>
      </c>
      <c r="J356" s="552">
        <f>J357+J358+J359+J360+J361+J362+J363+J364</f>
        <v>20.490000000000002</v>
      </c>
      <c r="K356" s="125" t="s">
        <v>191</v>
      </c>
      <c r="L356" s="65"/>
      <c r="M356" s="64"/>
    </row>
    <row r="357" spans="1:13" x14ac:dyDescent="0.25">
      <c r="A357" s="782"/>
      <c r="B357" s="558" t="s">
        <v>260</v>
      </c>
      <c r="C357" s="559"/>
      <c r="D357" s="557">
        <v>109.7</v>
      </c>
      <c r="E357" s="557">
        <v>78</v>
      </c>
      <c r="F357" s="557">
        <f>18.7*E357/100</f>
        <v>14.585999999999999</v>
      </c>
      <c r="G357" s="557">
        <f>16.1*E357/100</f>
        <v>12.558000000000002</v>
      </c>
      <c r="H357" s="557">
        <v>0</v>
      </c>
      <c r="I357" s="560">
        <f>220*E357/100</f>
        <v>171.6</v>
      </c>
      <c r="J357" s="561">
        <f>2*E357/100</f>
        <v>1.56</v>
      </c>
      <c r="K357" s="126"/>
      <c r="L357" s="114">
        <v>136</v>
      </c>
      <c r="M357" s="68">
        <f>SUM(L357*D357)/1000</f>
        <v>14.9192</v>
      </c>
    </row>
    <row r="358" spans="1:13" x14ac:dyDescent="0.25">
      <c r="A358" s="782"/>
      <c r="B358" s="558" t="s">
        <v>287</v>
      </c>
      <c r="C358" s="559"/>
      <c r="D358" s="557">
        <v>7</v>
      </c>
      <c r="E358" s="557">
        <v>7</v>
      </c>
      <c r="F358" s="557">
        <v>0</v>
      </c>
      <c r="G358" s="557">
        <f>99.9*E358/100</f>
        <v>6.9930000000000003</v>
      </c>
      <c r="H358" s="562">
        <v>0</v>
      </c>
      <c r="I358" s="563">
        <f>899*E358/100</f>
        <v>62.93</v>
      </c>
      <c r="J358" s="561">
        <v>0</v>
      </c>
      <c r="K358" s="152"/>
      <c r="L358" s="114">
        <v>35</v>
      </c>
      <c r="M358" s="68">
        <f>SUM(L358*D358)/1000</f>
        <v>0.245</v>
      </c>
    </row>
    <row r="359" spans="1:13" x14ac:dyDescent="0.25">
      <c r="A359" s="782"/>
      <c r="B359" s="558" t="s">
        <v>237</v>
      </c>
      <c r="C359" s="559"/>
      <c r="D359" s="557">
        <v>107</v>
      </c>
      <c r="E359" s="557">
        <v>80</v>
      </c>
      <c r="F359" s="557">
        <f>2*E359/100</f>
        <v>1.6</v>
      </c>
      <c r="G359" s="557">
        <f>0.4*E359/100</f>
        <v>0.32</v>
      </c>
      <c r="H359" s="557">
        <f>16.3*E359/100</f>
        <v>13.04</v>
      </c>
      <c r="I359" s="560">
        <f>77*E359/100</f>
        <v>61.6</v>
      </c>
      <c r="J359" s="561">
        <f>20*E359/100</f>
        <v>16</v>
      </c>
      <c r="K359" s="152"/>
      <c r="L359" s="114">
        <v>41</v>
      </c>
      <c r="M359" s="68">
        <f>SUM(L359*D359)/1000</f>
        <v>4.3869999999999996</v>
      </c>
    </row>
    <row r="360" spans="1:13" x14ac:dyDescent="0.25">
      <c r="A360" s="782"/>
      <c r="B360" s="558" t="s">
        <v>238</v>
      </c>
      <c r="C360" s="559"/>
      <c r="D360" s="557">
        <v>21</v>
      </c>
      <c r="E360" s="557">
        <v>17</v>
      </c>
      <c r="F360" s="557">
        <f>1.3*E360/100</f>
        <v>0.221</v>
      </c>
      <c r="G360" s="557">
        <v>0</v>
      </c>
      <c r="H360" s="557">
        <f>6.9*E360/100</f>
        <v>1.173</v>
      </c>
      <c r="I360" s="560">
        <f>35*E360/100</f>
        <v>5.95</v>
      </c>
      <c r="J360" s="561">
        <f>5*E360/100</f>
        <v>0.85</v>
      </c>
      <c r="K360" s="152"/>
      <c r="L360" s="114">
        <v>50</v>
      </c>
      <c r="M360" s="68">
        <f>SUM(L360*D360)/1000</f>
        <v>1.05</v>
      </c>
    </row>
    <row r="361" spans="1:13" x14ac:dyDescent="0.25">
      <c r="A361" s="782"/>
      <c r="B361" s="558" t="s">
        <v>240</v>
      </c>
      <c r="C361" s="559"/>
      <c r="D361" s="557">
        <v>2.4</v>
      </c>
      <c r="E361" s="557">
        <v>2.4</v>
      </c>
      <c r="F361" s="557">
        <f>4.8*E361/100</f>
        <v>0.1152</v>
      </c>
      <c r="G361" s="557">
        <v>0</v>
      </c>
      <c r="H361" s="557">
        <f>19*E361/100</f>
        <v>0.45600000000000002</v>
      </c>
      <c r="I361" s="560">
        <f>102*E361/100</f>
        <v>2.448</v>
      </c>
      <c r="J361" s="561">
        <f>45*E361/100</f>
        <v>1.08</v>
      </c>
      <c r="K361" s="152"/>
      <c r="L361" s="114"/>
      <c r="M361" s="68">
        <v>0</v>
      </c>
    </row>
    <row r="362" spans="1:13" x14ac:dyDescent="0.25">
      <c r="A362" s="782"/>
      <c r="B362" s="564" t="s">
        <v>239</v>
      </c>
      <c r="C362" s="565"/>
      <c r="D362" s="557">
        <v>12</v>
      </c>
      <c r="E362" s="557">
        <v>10</v>
      </c>
      <c r="F362" s="557">
        <f>1.4*E362/100</f>
        <v>0.14000000000000001</v>
      </c>
      <c r="G362" s="557">
        <v>0</v>
      </c>
      <c r="H362" s="557">
        <f>8.2*E362/100</f>
        <v>0.82</v>
      </c>
      <c r="I362" s="560">
        <f>41*E362/100</f>
        <v>4.0999999999999996</v>
      </c>
      <c r="J362" s="561">
        <f>10*E362/100</f>
        <v>1</v>
      </c>
      <c r="K362" s="174"/>
      <c r="L362" s="114">
        <v>310</v>
      </c>
      <c r="M362" s="68">
        <f>SUM(L362*D362)/1000</f>
        <v>3.72</v>
      </c>
    </row>
    <row r="363" spans="1:13" x14ac:dyDescent="0.25">
      <c r="A363" s="782"/>
      <c r="B363" s="566" t="s">
        <v>231</v>
      </c>
      <c r="C363" s="565"/>
      <c r="D363" s="557">
        <v>1</v>
      </c>
      <c r="E363" s="557">
        <v>1</v>
      </c>
      <c r="F363" s="557">
        <v>0</v>
      </c>
      <c r="G363" s="557">
        <v>0</v>
      </c>
      <c r="H363" s="557">
        <v>0</v>
      </c>
      <c r="I363" s="560">
        <v>0</v>
      </c>
      <c r="J363" s="561">
        <v>0</v>
      </c>
      <c r="K363" s="174"/>
      <c r="L363" s="114">
        <v>16</v>
      </c>
      <c r="M363" s="68">
        <f>SUM(L363*D363)/1000</f>
        <v>1.6E-2</v>
      </c>
    </row>
    <row r="364" spans="1:13" x14ac:dyDescent="0.25">
      <c r="A364" s="782"/>
      <c r="B364" s="566" t="s">
        <v>291</v>
      </c>
      <c r="C364" s="565"/>
      <c r="D364" s="557">
        <v>1</v>
      </c>
      <c r="E364" s="557">
        <v>1</v>
      </c>
      <c r="F364" s="557">
        <f>10.3*E364/100</f>
        <v>0.10300000000000001</v>
      </c>
      <c r="G364" s="557">
        <f>1.1*E364/100</f>
        <v>1.1000000000000001E-2</v>
      </c>
      <c r="H364" s="557">
        <f>69*E364/100</f>
        <v>0.69</v>
      </c>
      <c r="I364" s="560">
        <f>334*E364/100</f>
        <v>3.34</v>
      </c>
      <c r="J364" s="561">
        <v>0</v>
      </c>
      <c r="K364" s="126"/>
      <c r="L364" s="114"/>
      <c r="M364" s="72">
        <f>SUM(M357:M363)</f>
        <v>24.337199999999996</v>
      </c>
    </row>
    <row r="365" spans="1:13" x14ac:dyDescent="0.25">
      <c r="A365" s="782"/>
      <c r="B365" s="124" t="s">
        <v>359</v>
      </c>
      <c r="C365" s="567">
        <v>20</v>
      </c>
      <c r="D365" s="558">
        <v>25.2</v>
      </c>
      <c r="E365" s="568" t="s">
        <v>363</v>
      </c>
      <c r="F365" s="568">
        <f>1.23*E365/100</f>
        <v>0.24600000000000002</v>
      </c>
      <c r="G365" s="568">
        <f>E365*0.1/100</f>
        <v>0.02</v>
      </c>
      <c r="H365" s="568">
        <f>1.6*E365/100</f>
        <v>0.32</v>
      </c>
      <c r="I365" s="569">
        <f>16.3*E365/100</f>
        <v>3.26</v>
      </c>
      <c r="J365" s="568">
        <f>15*E365/100</f>
        <v>3</v>
      </c>
      <c r="K365" s="112"/>
      <c r="L365" s="112"/>
      <c r="M365" s="108"/>
    </row>
    <row r="366" spans="1:13" ht="15" hidden="1" customHeight="1" x14ac:dyDescent="0.25">
      <c r="A366" s="782"/>
      <c r="B366" s="107"/>
      <c r="C366" s="194"/>
      <c r="D366" s="63"/>
      <c r="E366" s="195"/>
      <c r="F366" s="210"/>
      <c r="G366" s="211"/>
      <c r="H366" s="211"/>
      <c r="I366" s="211"/>
      <c r="J366" s="212"/>
      <c r="K366" s="112"/>
      <c r="L366" s="112"/>
      <c r="M366" s="108"/>
    </row>
    <row r="367" spans="1:13" ht="15" hidden="1" customHeight="1" x14ac:dyDescent="0.25">
      <c r="A367" s="782"/>
      <c r="B367" s="107"/>
      <c r="C367" s="194"/>
      <c r="D367" s="63"/>
      <c r="E367" s="195"/>
      <c r="F367" s="210"/>
      <c r="G367" s="211"/>
      <c r="H367" s="211"/>
      <c r="I367" s="211"/>
      <c r="J367" s="212"/>
      <c r="K367" s="112"/>
      <c r="L367" s="112"/>
      <c r="M367" s="108"/>
    </row>
    <row r="368" spans="1:13" ht="15" hidden="1" customHeight="1" x14ac:dyDescent="0.25">
      <c r="A368" s="782"/>
      <c r="B368" s="107"/>
      <c r="C368" s="194"/>
      <c r="D368" s="63"/>
      <c r="E368" s="195"/>
      <c r="F368" s="210"/>
      <c r="G368" s="211"/>
      <c r="H368" s="211"/>
      <c r="I368" s="211"/>
      <c r="J368" s="212"/>
      <c r="K368" s="112"/>
      <c r="L368" s="112"/>
      <c r="M368" s="108"/>
    </row>
    <row r="369" spans="1:13" ht="15" hidden="1" customHeight="1" x14ac:dyDescent="0.25">
      <c r="A369" s="782"/>
      <c r="B369" s="107"/>
      <c r="C369" s="194"/>
      <c r="D369" s="63"/>
      <c r="E369" s="195"/>
      <c r="F369" s="210"/>
      <c r="G369" s="211"/>
      <c r="H369" s="211"/>
      <c r="I369" s="211"/>
      <c r="J369" s="212"/>
      <c r="K369" s="112"/>
      <c r="L369" s="112"/>
      <c r="M369" s="108"/>
    </row>
    <row r="370" spans="1:13" ht="15" hidden="1" customHeight="1" x14ac:dyDescent="0.25">
      <c r="A370" s="782"/>
      <c r="B370" s="107"/>
      <c r="C370" s="194"/>
      <c r="D370" s="63"/>
      <c r="E370" s="195"/>
      <c r="F370" s="210"/>
      <c r="G370" s="211"/>
      <c r="H370" s="211"/>
      <c r="I370" s="211"/>
      <c r="J370" s="212"/>
      <c r="K370" s="112"/>
      <c r="L370" s="112"/>
      <c r="M370" s="108"/>
    </row>
    <row r="371" spans="1:13" ht="15" hidden="1" customHeight="1" x14ac:dyDescent="0.25">
      <c r="A371" s="782"/>
      <c r="B371" s="176"/>
      <c r="C371" s="176"/>
      <c r="D371" s="172"/>
      <c r="E371" s="172"/>
      <c r="F371" s="118"/>
      <c r="G371" s="118"/>
      <c r="H371" s="118"/>
      <c r="I371" s="118"/>
      <c r="J371" s="118"/>
      <c r="K371" s="156"/>
      <c r="L371" s="65"/>
      <c r="M371" s="72"/>
    </row>
    <row r="372" spans="1:13" ht="15" hidden="1" customHeight="1" x14ac:dyDescent="0.25">
      <c r="A372" s="782"/>
      <c r="B372" s="207"/>
      <c r="C372" s="208"/>
      <c r="D372" s="209"/>
      <c r="E372" s="209"/>
      <c r="F372" s="51"/>
      <c r="G372" s="51"/>
      <c r="H372" s="51"/>
      <c r="I372" s="51"/>
      <c r="J372" s="53"/>
      <c r="K372" s="125"/>
      <c r="L372" s="65"/>
      <c r="M372" s="64"/>
    </row>
    <row r="373" spans="1:13" ht="15" hidden="1" customHeight="1" x14ac:dyDescent="0.25">
      <c r="A373" s="782"/>
      <c r="B373" s="213"/>
      <c r="C373" s="213"/>
      <c r="D373" s="63"/>
      <c r="E373" s="63"/>
      <c r="F373" s="59"/>
      <c r="G373" s="51"/>
      <c r="H373" s="51"/>
      <c r="I373" s="51"/>
      <c r="J373" s="53"/>
      <c r="K373" s="126"/>
      <c r="L373" s="114"/>
      <c r="M373" s="68"/>
    </row>
    <row r="374" spans="1:13" ht="15" hidden="1" customHeight="1" x14ac:dyDescent="0.25">
      <c r="A374" s="782"/>
      <c r="B374" s="213"/>
      <c r="C374" s="213"/>
      <c r="D374" s="63"/>
      <c r="E374" s="63"/>
      <c r="F374" s="59"/>
      <c r="G374" s="51"/>
      <c r="H374" s="51"/>
      <c r="I374" s="51"/>
      <c r="J374" s="53"/>
      <c r="K374" s="126"/>
      <c r="L374" s="114"/>
      <c r="M374" s="68"/>
    </row>
    <row r="375" spans="1:13" ht="15" hidden="1" customHeight="1" x14ac:dyDescent="0.25">
      <c r="A375" s="782"/>
      <c r="B375" s="213"/>
      <c r="C375" s="213"/>
      <c r="D375" s="63"/>
      <c r="E375" s="63"/>
      <c r="F375" s="59"/>
      <c r="G375" s="51"/>
      <c r="H375" s="51"/>
      <c r="I375" s="51"/>
      <c r="J375" s="53"/>
      <c r="K375" s="126"/>
      <c r="L375" s="114"/>
      <c r="M375" s="68"/>
    </row>
    <row r="376" spans="1:13" ht="15" hidden="1" customHeight="1" x14ac:dyDescent="0.25">
      <c r="A376" s="782"/>
      <c r="B376" s="213"/>
      <c r="C376" s="213"/>
      <c r="D376" s="63"/>
      <c r="E376" s="63"/>
      <c r="F376" s="59"/>
      <c r="G376" s="51"/>
      <c r="H376" s="51"/>
      <c r="I376" s="51"/>
      <c r="J376" s="53"/>
      <c r="K376" s="126"/>
      <c r="L376" s="114"/>
      <c r="M376" s="68"/>
    </row>
    <row r="377" spans="1:13" ht="15" hidden="1" customHeight="1" x14ac:dyDescent="0.25">
      <c r="A377" s="782"/>
      <c r="B377" s="213"/>
      <c r="C377" s="213"/>
      <c r="D377" s="63"/>
      <c r="E377" s="63"/>
      <c r="F377" s="59"/>
      <c r="G377" s="51"/>
      <c r="H377" s="51"/>
      <c r="I377" s="51"/>
      <c r="J377" s="53"/>
      <c r="K377" s="126"/>
      <c r="L377" s="114"/>
      <c r="M377" s="68"/>
    </row>
    <row r="378" spans="1:13" ht="15" hidden="1" customHeight="1" x14ac:dyDescent="0.25">
      <c r="A378" s="782"/>
      <c r="B378" s="213"/>
      <c r="C378" s="213"/>
      <c r="D378" s="63"/>
      <c r="E378" s="63"/>
      <c r="F378" s="171"/>
      <c r="G378" s="172"/>
      <c r="H378" s="172"/>
      <c r="I378" s="172"/>
      <c r="J378" s="214"/>
      <c r="K378" s="170"/>
      <c r="L378" s="215"/>
      <c r="M378" s="68"/>
    </row>
    <row r="379" spans="1:13" ht="15" hidden="1" customHeight="1" x14ac:dyDescent="0.25">
      <c r="A379" s="782"/>
      <c r="B379" s="213"/>
      <c r="C379" s="213"/>
      <c r="D379" s="63"/>
      <c r="E379" s="63"/>
      <c r="F379" s="102"/>
      <c r="G379" s="63"/>
      <c r="H379" s="63"/>
      <c r="I379" s="63"/>
      <c r="J379" s="96"/>
      <c r="K379" s="125"/>
      <c r="L379" s="114"/>
      <c r="M379" s="68"/>
    </row>
    <row r="380" spans="1:13" ht="15" hidden="1" customHeight="1" x14ac:dyDescent="0.25">
      <c r="A380" s="782"/>
      <c r="B380" s="213"/>
      <c r="C380" s="213"/>
      <c r="D380" s="63"/>
      <c r="E380" s="63"/>
      <c r="F380" s="102"/>
      <c r="G380" s="63"/>
      <c r="H380" s="63"/>
      <c r="I380" s="63"/>
      <c r="J380" s="96"/>
      <c r="K380" s="125"/>
      <c r="L380" s="114"/>
      <c r="M380" s="68"/>
    </row>
    <row r="381" spans="1:13" ht="15" hidden="1" customHeight="1" x14ac:dyDescent="0.25">
      <c r="A381" s="782"/>
      <c r="B381" s="213"/>
      <c r="C381" s="213"/>
      <c r="D381" s="63"/>
      <c r="E381" s="63"/>
      <c r="F381" s="102"/>
      <c r="G381" s="63"/>
      <c r="H381" s="63"/>
      <c r="I381" s="63"/>
      <c r="J381" s="96"/>
      <c r="K381" s="125"/>
      <c r="L381" s="114"/>
      <c r="M381" s="68"/>
    </row>
    <row r="382" spans="1:13" ht="15" hidden="1" customHeight="1" x14ac:dyDescent="0.25">
      <c r="A382" s="782"/>
      <c r="B382" s="213"/>
      <c r="C382" s="216"/>
      <c r="D382" s="100"/>
      <c r="E382" s="100"/>
      <c r="F382" s="192"/>
      <c r="G382" s="192"/>
      <c r="H382" s="192"/>
      <c r="I382" s="192"/>
      <c r="J382" s="193"/>
      <c r="K382" s="156"/>
      <c r="L382" s="65"/>
      <c r="M382" s="72"/>
    </row>
    <row r="383" spans="1:13" x14ac:dyDescent="0.25">
      <c r="A383" s="782"/>
      <c r="B383" s="138" t="s">
        <v>180</v>
      </c>
      <c r="C383" s="124">
        <v>180</v>
      </c>
      <c r="D383" s="13"/>
      <c r="E383" s="13"/>
      <c r="F383" s="63"/>
      <c r="G383" s="63"/>
      <c r="H383" s="63"/>
      <c r="I383" s="63"/>
      <c r="J383" s="96"/>
      <c r="K383" s="108" t="s">
        <v>181</v>
      </c>
      <c r="L383" s="65"/>
      <c r="M383" s="64"/>
    </row>
    <row r="384" spans="1:13" ht="17.25" customHeight="1" x14ac:dyDescent="0.25">
      <c r="A384" s="782"/>
      <c r="B384" s="107" t="s">
        <v>182</v>
      </c>
      <c r="C384" s="107"/>
      <c r="D384" s="63">
        <v>18</v>
      </c>
      <c r="E384" s="63" t="s">
        <v>183</v>
      </c>
      <c r="F384" s="63">
        <v>0.93600000000000005</v>
      </c>
      <c r="G384" s="63">
        <v>5.3999999999999999E-2</v>
      </c>
      <c r="H384" s="63">
        <v>9.18</v>
      </c>
      <c r="I384" s="63">
        <v>41.76</v>
      </c>
      <c r="J384" s="96">
        <v>0.72</v>
      </c>
      <c r="K384" s="136"/>
      <c r="L384" s="114">
        <v>90</v>
      </c>
      <c r="M384" s="64">
        <f>SUM(L384*D384)/1000</f>
        <v>1.62</v>
      </c>
    </row>
    <row r="385" spans="1:13" x14ac:dyDescent="0.25">
      <c r="A385" s="782"/>
      <c r="B385" s="107" t="s">
        <v>38</v>
      </c>
      <c r="C385" s="107"/>
      <c r="D385" s="63">
        <v>14.4</v>
      </c>
      <c r="E385" s="63">
        <v>14.4</v>
      </c>
      <c r="F385" s="63">
        <v>0</v>
      </c>
      <c r="G385" s="63">
        <v>0</v>
      </c>
      <c r="H385" s="63">
        <v>14.371</v>
      </c>
      <c r="I385" s="63">
        <v>54.576000000000001</v>
      </c>
      <c r="J385" s="96">
        <v>0</v>
      </c>
      <c r="K385" s="136"/>
      <c r="L385" s="114">
        <v>50</v>
      </c>
      <c r="M385" s="64">
        <f>SUM(L385*D385)/1000</f>
        <v>0.72</v>
      </c>
    </row>
    <row r="386" spans="1:13" x14ac:dyDescent="0.25">
      <c r="A386" s="782"/>
      <c r="B386" s="107" t="s">
        <v>19</v>
      </c>
      <c r="C386" s="107"/>
      <c r="D386" s="63">
        <v>182.7</v>
      </c>
      <c r="E386" s="63">
        <v>182.7</v>
      </c>
      <c r="F386" s="63">
        <v>0</v>
      </c>
      <c r="G386" s="63">
        <v>0</v>
      </c>
      <c r="H386" s="63">
        <v>0</v>
      </c>
      <c r="I386" s="63">
        <v>0</v>
      </c>
      <c r="J386" s="96">
        <v>0</v>
      </c>
      <c r="K386" s="136"/>
      <c r="L386" s="114">
        <v>0</v>
      </c>
      <c r="M386" s="64">
        <f>SUM(L386*D386)/1000</f>
        <v>0</v>
      </c>
    </row>
    <row r="387" spans="1:13" x14ac:dyDescent="0.25">
      <c r="A387" s="782"/>
      <c r="B387" s="107"/>
      <c r="C387" s="107"/>
      <c r="D387" s="63"/>
      <c r="E387" s="63"/>
      <c r="F387" s="118">
        <f>SUM(F384:F386)</f>
        <v>0.93600000000000005</v>
      </c>
      <c r="G387" s="118">
        <f>SUM(G384:G386)</f>
        <v>5.3999999999999999E-2</v>
      </c>
      <c r="H387" s="118">
        <f>SUM(H384:H386)</f>
        <v>23.551000000000002</v>
      </c>
      <c r="I387" s="118">
        <f>SUM(I384:I386)</f>
        <v>96.335999999999999</v>
      </c>
      <c r="J387" s="118">
        <f>SUM(J384:J386)</f>
        <v>0.72</v>
      </c>
      <c r="K387" s="153"/>
      <c r="L387" s="65"/>
      <c r="M387" s="72">
        <f>SUM(M384:M386)</f>
        <v>2.34</v>
      </c>
    </row>
    <row r="388" spans="1:13" x14ac:dyDescent="0.25">
      <c r="A388" s="782"/>
      <c r="B388" s="109" t="s">
        <v>39</v>
      </c>
      <c r="C388" s="124">
        <v>40</v>
      </c>
      <c r="D388" s="63">
        <v>40</v>
      </c>
      <c r="E388" s="63">
        <v>40</v>
      </c>
      <c r="F388" s="118">
        <v>2.64</v>
      </c>
      <c r="G388" s="118">
        <v>0.48</v>
      </c>
      <c r="H388" s="118">
        <v>13.68</v>
      </c>
      <c r="I388" s="118">
        <v>72.400000000000006</v>
      </c>
      <c r="J388" s="139">
        <v>0</v>
      </c>
      <c r="K388" s="153" t="s">
        <v>73</v>
      </c>
      <c r="L388" s="114">
        <v>40</v>
      </c>
      <c r="M388" s="72">
        <f>SUM(L388*D388)/1000</f>
        <v>1.6</v>
      </c>
    </row>
    <row r="389" spans="1:13" x14ac:dyDescent="0.25">
      <c r="A389" s="782"/>
      <c r="B389" s="109" t="s">
        <v>40</v>
      </c>
      <c r="C389" s="124">
        <v>40</v>
      </c>
      <c r="D389" s="63">
        <v>40</v>
      </c>
      <c r="E389" s="63">
        <v>40</v>
      </c>
      <c r="F389" s="118">
        <v>3.85</v>
      </c>
      <c r="G389" s="118">
        <v>1.5</v>
      </c>
      <c r="H389" s="118">
        <v>24.9</v>
      </c>
      <c r="I389" s="118">
        <v>131</v>
      </c>
      <c r="J389" s="139">
        <v>0</v>
      </c>
      <c r="K389" s="153" t="s">
        <v>73</v>
      </c>
      <c r="L389" s="114">
        <v>35</v>
      </c>
      <c r="M389" s="72">
        <f>SUM(L389*D389)/1000</f>
        <v>1.4</v>
      </c>
    </row>
    <row r="390" spans="1:13" x14ac:dyDescent="0.25">
      <c r="A390" s="783"/>
      <c r="B390" s="124" t="s">
        <v>74</v>
      </c>
      <c r="C390" s="124"/>
      <c r="D390" s="180"/>
      <c r="E390" s="180"/>
      <c r="F390" s="265">
        <f>SUM(F355,F364,F371,F382,F387:F389)</f>
        <v>9.1280999999999999</v>
      </c>
      <c r="G390" s="265">
        <f>SUM(G355,G364,G371,G382,G387:G389)</f>
        <v>6.775500000000001</v>
      </c>
      <c r="H390" s="265">
        <f>SUM(H355,H364,H371,H382,H387:H389)</f>
        <v>86.674300000000002</v>
      </c>
      <c r="I390" s="265">
        <f>SUM(I355,I364,I371,I382,I387:I389)</f>
        <v>447.03700000000003</v>
      </c>
      <c r="J390" s="265">
        <f>SUM(J355,J364,J371,J382,J387:J389)</f>
        <v>16.937000000000001</v>
      </c>
      <c r="K390" s="158"/>
      <c r="L390" s="65"/>
      <c r="M390" s="71">
        <f>SUM(M355,M364,M371,M382,M387:M389)</f>
        <v>34.464891999999992</v>
      </c>
    </row>
    <row r="391" spans="1:13" ht="16.5" customHeight="1" x14ac:dyDescent="0.25">
      <c r="A391" s="5" t="s">
        <v>114</v>
      </c>
      <c r="B391" s="13"/>
      <c r="C391" s="4"/>
      <c r="D391" s="105"/>
      <c r="E391" s="106"/>
      <c r="F391" s="63"/>
      <c r="G391" s="63"/>
      <c r="H391" s="63"/>
      <c r="I391" s="63"/>
      <c r="J391" s="96"/>
      <c r="K391" s="125"/>
      <c r="L391" s="65"/>
      <c r="M391" s="64"/>
    </row>
    <row r="392" spans="1:13" x14ac:dyDescent="0.25">
      <c r="A392" s="781"/>
      <c r="B392" s="375" t="s">
        <v>346</v>
      </c>
      <c r="C392" s="254">
        <v>125</v>
      </c>
      <c r="D392" s="187"/>
      <c r="E392" s="189"/>
      <c r="F392" s="130">
        <f>SUM(F393:F402)</f>
        <v>5.8059999999999992</v>
      </c>
      <c r="G392" s="130">
        <f t="shared" ref="G392:J392" si="27">SUM(G393:G402)</f>
        <v>7.1549999999999994</v>
      </c>
      <c r="H392" s="130">
        <f t="shared" si="27"/>
        <v>33.526000000000003</v>
      </c>
      <c r="I392" s="130">
        <f t="shared" si="27"/>
        <v>218.79599999999999</v>
      </c>
      <c r="J392" s="130">
        <f t="shared" si="27"/>
        <v>0.23199999999999998</v>
      </c>
      <c r="K392" s="236" t="s">
        <v>347</v>
      </c>
      <c r="L392" s="365"/>
      <c r="M392" s="366"/>
    </row>
    <row r="393" spans="1:13" x14ac:dyDescent="0.25">
      <c r="A393" s="782"/>
      <c r="B393" s="376" t="s">
        <v>203</v>
      </c>
      <c r="C393" s="376"/>
      <c r="D393" s="187">
        <v>76</v>
      </c>
      <c r="E393" s="187">
        <v>75</v>
      </c>
      <c r="F393" s="297">
        <v>4</v>
      </c>
      <c r="G393" s="297">
        <v>2.16</v>
      </c>
      <c r="H393" s="297">
        <v>0.48</v>
      </c>
      <c r="I393" s="297">
        <v>37.270000000000003</v>
      </c>
      <c r="J393" s="298">
        <v>0.12</v>
      </c>
      <c r="K393" s="236"/>
      <c r="L393" s="365"/>
      <c r="M393" s="366"/>
    </row>
    <row r="394" spans="1:13" x14ac:dyDescent="0.25">
      <c r="A394" s="782"/>
      <c r="B394" s="403" t="s">
        <v>227</v>
      </c>
      <c r="C394" s="499"/>
      <c r="D394" s="352">
        <v>8</v>
      </c>
      <c r="E394" s="352">
        <v>8</v>
      </c>
      <c r="F394" s="354">
        <f>10.3*E394/100</f>
        <v>0.82400000000000007</v>
      </c>
      <c r="G394" s="354">
        <f>1*E394/100</f>
        <v>0.08</v>
      </c>
      <c r="H394" s="509">
        <f>67.9*E394/100</f>
        <v>5.4320000000000004</v>
      </c>
      <c r="I394" s="510">
        <f>328*E394/100</f>
        <v>26.24</v>
      </c>
      <c r="J394" s="511">
        <v>0</v>
      </c>
      <c r="K394" s="236"/>
      <c r="L394" s="365"/>
      <c r="M394" s="366"/>
    </row>
    <row r="395" spans="1:13" x14ac:dyDescent="0.25">
      <c r="A395" s="782"/>
      <c r="B395" s="376" t="s">
        <v>112</v>
      </c>
      <c r="C395" s="376"/>
      <c r="D395" s="187">
        <v>0.25</v>
      </c>
      <c r="E395" s="187">
        <v>0.25</v>
      </c>
      <c r="F395" s="297">
        <v>0.04</v>
      </c>
      <c r="G395" s="297">
        <v>0</v>
      </c>
      <c r="H395" s="297">
        <v>6.5</v>
      </c>
      <c r="I395" s="297">
        <v>25</v>
      </c>
      <c r="J395" s="298">
        <v>0.05</v>
      </c>
      <c r="K395" s="236"/>
      <c r="L395" s="365"/>
      <c r="M395" s="366"/>
    </row>
    <row r="396" spans="1:13" x14ac:dyDescent="0.25">
      <c r="A396" s="782"/>
      <c r="B396" s="107" t="s">
        <v>38</v>
      </c>
      <c r="C396" s="107"/>
      <c r="D396" s="63">
        <v>8</v>
      </c>
      <c r="E396" s="63">
        <v>8</v>
      </c>
      <c r="F396" s="194">
        <v>0</v>
      </c>
      <c r="G396" s="194">
        <v>0</v>
      </c>
      <c r="H396" s="194">
        <v>14.371</v>
      </c>
      <c r="I396" s="194">
        <v>54.576000000000001</v>
      </c>
      <c r="J396" s="97">
        <v>0</v>
      </c>
      <c r="K396" s="136"/>
      <c r="L396" s="365"/>
      <c r="M396" s="366"/>
    </row>
    <row r="397" spans="1:13" x14ac:dyDescent="0.25">
      <c r="A397" s="782"/>
      <c r="B397" s="376" t="s">
        <v>34</v>
      </c>
      <c r="C397" s="376"/>
      <c r="D397" s="377">
        <v>5</v>
      </c>
      <c r="E397" s="187">
        <v>5</v>
      </c>
      <c r="F397" s="297">
        <v>0.76200000000000001</v>
      </c>
      <c r="G397" s="297">
        <v>0.69</v>
      </c>
      <c r="H397" s="297">
        <v>4.2000000000000003E-2</v>
      </c>
      <c r="I397" s="297">
        <v>9.42</v>
      </c>
      <c r="J397" s="298">
        <v>0</v>
      </c>
      <c r="K397" s="190"/>
      <c r="L397" s="185">
        <v>4.6989999999999998</v>
      </c>
      <c r="M397" s="368">
        <f>SUM(L397*D397)/40</f>
        <v>0.58737499999999998</v>
      </c>
    </row>
    <row r="398" spans="1:13" x14ac:dyDescent="0.25">
      <c r="A398" s="782"/>
      <c r="B398" s="101" t="s">
        <v>21</v>
      </c>
      <c r="C398" s="107"/>
      <c r="D398" s="63">
        <v>5</v>
      </c>
      <c r="E398" s="63">
        <v>5</v>
      </c>
      <c r="F398" s="512">
        <v>0.04</v>
      </c>
      <c r="G398" s="513">
        <v>3.625</v>
      </c>
      <c r="H398" s="194">
        <v>6.5000000000000002E-2</v>
      </c>
      <c r="I398" s="194">
        <v>33.049999999999997</v>
      </c>
      <c r="J398" s="97">
        <v>0</v>
      </c>
      <c r="K398" s="190"/>
      <c r="L398" s="185">
        <v>92.2</v>
      </c>
      <c r="M398" s="368">
        <f>SUM(L398*D398)/1000</f>
        <v>0.46100000000000002</v>
      </c>
    </row>
    <row r="399" spans="1:13" x14ac:dyDescent="0.25">
      <c r="A399" s="783"/>
      <c r="B399" s="376" t="s">
        <v>200</v>
      </c>
      <c r="C399" s="376"/>
      <c r="D399" s="187">
        <v>10.199999999999999</v>
      </c>
      <c r="E399" s="187">
        <v>10</v>
      </c>
      <c r="F399" s="297">
        <v>0.04</v>
      </c>
      <c r="G399" s="297">
        <v>0</v>
      </c>
      <c r="H399" s="297">
        <v>6.5</v>
      </c>
      <c r="I399" s="297">
        <v>25</v>
      </c>
      <c r="J399" s="298">
        <v>0.05</v>
      </c>
      <c r="K399" s="190"/>
      <c r="L399" s="185">
        <v>158.22999999999999</v>
      </c>
      <c r="M399" s="368">
        <f>SUM(L399*D399)/1000</f>
        <v>1.6139459999999997</v>
      </c>
    </row>
    <row r="400" spans="1:13" x14ac:dyDescent="0.25">
      <c r="A400" s="5"/>
      <c r="B400" s="376" t="s">
        <v>201</v>
      </c>
      <c r="C400" s="376"/>
      <c r="D400" s="187">
        <v>0.01</v>
      </c>
      <c r="E400" s="187">
        <v>0.01</v>
      </c>
      <c r="F400" s="297"/>
      <c r="G400" s="297"/>
      <c r="H400" s="297"/>
      <c r="I400" s="297"/>
      <c r="J400" s="298"/>
      <c r="K400" s="190"/>
      <c r="L400" s="185"/>
      <c r="M400" s="368"/>
    </row>
    <row r="401" spans="1:13" x14ac:dyDescent="0.25">
      <c r="A401" s="5"/>
      <c r="B401" s="107" t="s">
        <v>68</v>
      </c>
      <c r="C401" s="107"/>
      <c r="D401" s="63">
        <v>4</v>
      </c>
      <c r="E401" s="63">
        <v>4</v>
      </c>
      <c r="F401" s="194">
        <v>0</v>
      </c>
      <c r="G401" s="194">
        <v>0</v>
      </c>
      <c r="H401" s="194">
        <v>0</v>
      </c>
      <c r="I401" s="194">
        <v>0</v>
      </c>
      <c r="J401" s="97">
        <v>0</v>
      </c>
      <c r="K401" s="190"/>
      <c r="L401" s="185"/>
      <c r="M401" s="368"/>
    </row>
    <row r="402" spans="1:13" x14ac:dyDescent="0.25">
      <c r="A402" s="5"/>
      <c r="B402" s="353" t="s">
        <v>152</v>
      </c>
      <c r="C402" s="501"/>
      <c r="D402" s="502">
        <v>4</v>
      </c>
      <c r="E402" s="503">
        <v>4</v>
      </c>
      <c r="F402" s="501">
        <f>2.5*E402/100</f>
        <v>0.1</v>
      </c>
      <c r="G402" s="501">
        <f>15*E402/100</f>
        <v>0.6</v>
      </c>
      <c r="H402" s="501">
        <f>3.4*E402/100</f>
        <v>0.13600000000000001</v>
      </c>
      <c r="I402" s="514">
        <f>206*E402/100</f>
        <v>8.24</v>
      </c>
      <c r="J402" s="515">
        <f>0.3*E402/100</f>
        <v>1.2E-2</v>
      </c>
      <c r="K402" s="190"/>
      <c r="L402" s="185">
        <v>400</v>
      </c>
      <c r="M402" s="368">
        <f>SUM(L402*D402)/1000</f>
        <v>1.6</v>
      </c>
    </row>
    <row r="403" spans="1:13" x14ac:dyDescent="0.25">
      <c r="A403" s="5"/>
      <c r="B403" s="500" t="s">
        <v>202</v>
      </c>
      <c r="C403" s="365"/>
      <c r="D403" s="423"/>
      <c r="E403" s="416">
        <v>100</v>
      </c>
      <c r="F403" s="366"/>
      <c r="G403" s="366"/>
      <c r="H403" s="366"/>
      <c r="I403" s="366"/>
      <c r="J403" s="366"/>
      <c r="K403" s="190"/>
      <c r="L403" s="185"/>
      <c r="M403" s="368"/>
    </row>
    <row r="404" spans="1:13" x14ac:dyDescent="0.25">
      <c r="A404" s="5"/>
      <c r="B404" s="389" t="s">
        <v>221</v>
      </c>
      <c r="C404" s="339">
        <v>25</v>
      </c>
      <c r="D404" s="340"/>
      <c r="E404" s="340"/>
      <c r="F404" s="401">
        <f>F405+F406+F407+F408+F409+F410</f>
        <v>0.47209999999999996</v>
      </c>
      <c r="G404" s="401">
        <f>G405+G406+G407+G408+G409+G410</f>
        <v>1.2096</v>
      </c>
      <c r="H404" s="401">
        <f>H405+H406+H407+H408+H409+H410</f>
        <v>21.340800000000002</v>
      </c>
      <c r="I404" s="401">
        <f>I405+I406+I407+I408+I409+I410</f>
        <v>93.995000000000005</v>
      </c>
      <c r="J404" s="401">
        <f>J405+J406+J407+J408+J409+J410</f>
        <v>0.16250000000000001</v>
      </c>
      <c r="K404" s="483" t="s">
        <v>298</v>
      </c>
      <c r="L404" s="365"/>
      <c r="M404" s="369">
        <f>SUM(M397:M402)</f>
        <v>4.262321</v>
      </c>
    </row>
    <row r="405" spans="1:13" x14ac:dyDescent="0.25">
      <c r="A405" s="5"/>
      <c r="B405" s="406" t="s">
        <v>228</v>
      </c>
      <c r="C405" s="354"/>
      <c r="D405" s="340">
        <v>12.5</v>
      </c>
      <c r="E405" s="340">
        <v>12.5</v>
      </c>
      <c r="F405" s="340">
        <f>2.8*E405/100</f>
        <v>0.35</v>
      </c>
      <c r="G405" s="340">
        <f>3.2*E405/100</f>
        <v>0.4</v>
      </c>
      <c r="H405" s="340">
        <f>4.7*E405/100</f>
        <v>0.58750000000000002</v>
      </c>
      <c r="I405" s="345">
        <f>58*E405/100</f>
        <v>7.25</v>
      </c>
      <c r="J405" s="346">
        <f>1.3*E405/100</f>
        <v>0.16250000000000001</v>
      </c>
      <c r="K405" s="483"/>
      <c r="L405" s="365"/>
      <c r="M405" s="508"/>
    </row>
    <row r="406" spans="1:13" x14ac:dyDescent="0.25">
      <c r="A406" s="5"/>
      <c r="B406" s="406" t="s">
        <v>288</v>
      </c>
      <c r="C406" s="354"/>
      <c r="D406" s="340">
        <v>1.1000000000000001</v>
      </c>
      <c r="E406" s="340">
        <v>1.1000000000000001</v>
      </c>
      <c r="F406" s="340">
        <f>0.8*E406/100</f>
        <v>8.8000000000000005E-3</v>
      </c>
      <c r="G406" s="340">
        <f>72.5*E406/100</f>
        <v>0.79749999999999999</v>
      </c>
      <c r="H406" s="340">
        <f>1.3*E406/100</f>
        <v>1.4300000000000002E-2</v>
      </c>
      <c r="I406" s="345">
        <f>661*E406/100</f>
        <v>7.2709999999999999</v>
      </c>
      <c r="J406" s="346">
        <v>0</v>
      </c>
      <c r="K406" s="483"/>
      <c r="L406" s="365"/>
      <c r="M406" s="508"/>
    </row>
    <row r="407" spans="1:13" x14ac:dyDescent="0.25">
      <c r="A407" s="5"/>
      <c r="B407" s="406" t="s">
        <v>291</v>
      </c>
      <c r="C407" s="354"/>
      <c r="D407" s="340">
        <v>1.1000000000000001</v>
      </c>
      <c r="E407" s="340">
        <v>1.1000000000000001</v>
      </c>
      <c r="F407" s="340">
        <f>10.3*E407/100</f>
        <v>0.11330000000000001</v>
      </c>
      <c r="G407" s="340">
        <f>1.1*E407/100</f>
        <v>1.2100000000000001E-2</v>
      </c>
      <c r="H407" s="340">
        <f>69*E407/100</f>
        <v>0.75900000000000001</v>
      </c>
      <c r="I407" s="345">
        <f>334*E407/100</f>
        <v>3.6740000000000004</v>
      </c>
      <c r="J407" s="346">
        <v>0</v>
      </c>
      <c r="K407" s="483"/>
      <c r="L407" s="365"/>
      <c r="M407" s="508"/>
    </row>
    <row r="408" spans="1:13" x14ac:dyDescent="0.25">
      <c r="A408" s="28"/>
      <c r="B408" s="406" t="s">
        <v>229</v>
      </c>
      <c r="C408" s="354"/>
      <c r="D408" s="340">
        <v>12.5</v>
      </c>
      <c r="E408" s="340">
        <v>12.5</v>
      </c>
      <c r="F408" s="340">
        <v>0</v>
      </c>
      <c r="G408" s="340">
        <v>0</v>
      </c>
      <c r="H408" s="340">
        <v>0</v>
      </c>
      <c r="I408" s="345">
        <v>0</v>
      </c>
      <c r="J408" s="346">
        <v>0</v>
      </c>
      <c r="K408" s="483"/>
      <c r="L408" s="365"/>
      <c r="M408" s="508"/>
    </row>
    <row r="409" spans="1:13" x14ac:dyDescent="0.25">
      <c r="A409" s="5"/>
      <c r="B409" s="406" t="s">
        <v>299</v>
      </c>
      <c r="C409" s="354"/>
      <c r="D409" s="340">
        <v>2</v>
      </c>
      <c r="E409" s="340">
        <v>2</v>
      </c>
      <c r="F409" s="340">
        <v>0</v>
      </c>
      <c r="G409" s="340">
        <v>0</v>
      </c>
      <c r="H409" s="340">
        <v>19.98</v>
      </c>
      <c r="I409" s="345">
        <v>75.8</v>
      </c>
      <c r="J409" s="346">
        <v>0</v>
      </c>
      <c r="K409" s="483"/>
      <c r="L409" s="365"/>
      <c r="M409" s="508"/>
    </row>
    <row r="410" spans="1:13" x14ac:dyDescent="0.25">
      <c r="A410" s="5"/>
      <c r="B410" s="406" t="s">
        <v>300</v>
      </c>
      <c r="C410" s="354"/>
      <c r="D410" s="340">
        <v>1E-3</v>
      </c>
      <c r="E410" s="340">
        <v>1E-3</v>
      </c>
      <c r="F410" s="340">
        <v>0</v>
      </c>
      <c r="G410" s="340">
        <v>0</v>
      </c>
      <c r="H410" s="340">
        <v>0</v>
      </c>
      <c r="I410" s="345">
        <v>0</v>
      </c>
      <c r="J410" s="346">
        <v>0</v>
      </c>
      <c r="K410" s="483"/>
      <c r="L410" s="365"/>
      <c r="M410" s="508"/>
    </row>
    <row r="411" spans="1:13" x14ac:dyDescent="0.25">
      <c r="A411" s="5"/>
      <c r="B411" s="362" t="s">
        <v>56</v>
      </c>
      <c r="C411" s="504">
        <v>180</v>
      </c>
      <c r="D411" s="505"/>
      <c r="E411" s="505"/>
      <c r="F411" s="506">
        <f>F412+F413+F414+F415</f>
        <v>3.25</v>
      </c>
      <c r="G411" s="506">
        <f>G412+G413+G414+G415</f>
        <v>3.3080000000000003</v>
      </c>
      <c r="H411" s="506">
        <f>H412+H413+H414+H415</f>
        <v>14.89</v>
      </c>
      <c r="I411" s="506">
        <f>I412+I413+I414+I415</f>
        <v>99.460999999999999</v>
      </c>
      <c r="J411" s="506">
        <f>J412+J413+J414+J415</f>
        <v>1.3</v>
      </c>
      <c r="K411" s="507" t="s">
        <v>249</v>
      </c>
      <c r="L411" s="365"/>
      <c r="M411" s="366"/>
    </row>
    <row r="412" spans="1:13" x14ac:dyDescent="0.25">
      <c r="A412" s="5"/>
      <c r="B412" s="353" t="s">
        <v>250</v>
      </c>
      <c r="C412" s="343"/>
      <c r="D412" s="340">
        <v>3</v>
      </c>
      <c r="E412" s="340">
        <v>3</v>
      </c>
      <c r="F412" s="340">
        <f>15*E412/100</f>
        <v>0.45</v>
      </c>
      <c r="G412" s="340">
        <f>3.6*E412/100</f>
        <v>0.10800000000000001</v>
      </c>
      <c r="H412" s="340">
        <f>7*E412/100</f>
        <v>0.21</v>
      </c>
      <c r="I412" s="345">
        <f>118.7*E412/100</f>
        <v>3.5610000000000004</v>
      </c>
      <c r="J412" s="346">
        <v>0</v>
      </c>
      <c r="K412" s="480"/>
      <c r="L412" s="185">
        <v>220</v>
      </c>
      <c r="M412" s="367">
        <f>SUM(L412*D412)/1000</f>
        <v>0.66</v>
      </c>
    </row>
    <row r="413" spans="1:13" x14ac:dyDescent="0.25">
      <c r="A413" s="5"/>
      <c r="B413" s="353" t="s">
        <v>229</v>
      </c>
      <c r="C413" s="343"/>
      <c r="D413" s="340">
        <v>108</v>
      </c>
      <c r="E413" s="340">
        <v>108</v>
      </c>
      <c r="F413" s="340">
        <v>0</v>
      </c>
      <c r="G413" s="340">
        <v>0</v>
      </c>
      <c r="H413" s="340">
        <v>0</v>
      </c>
      <c r="I413" s="345">
        <v>0</v>
      </c>
      <c r="J413" s="346">
        <v>0</v>
      </c>
      <c r="K413" s="480"/>
      <c r="L413" s="185">
        <v>50.7</v>
      </c>
      <c r="M413" s="368">
        <f>SUM(L413*D413)/1000</f>
        <v>5.4756</v>
      </c>
    </row>
    <row r="414" spans="1:13" x14ac:dyDescent="0.25">
      <c r="A414" s="5"/>
      <c r="B414" s="353" t="s">
        <v>230</v>
      </c>
      <c r="C414" s="343"/>
      <c r="D414" s="340">
        <v>10</v>
      </c>
      <c r="E414" s="340">
        <v>10</v>
      </c>
      <c r="F414" s="340">
        <v>0</v>
      </c>
      <c r="G414" s="340">
        <v>0</v>
      </c>
      <c r="H414" s="340">
        <f>99.8*E414/100</f>
        <v>9.98</v>
      </c>
      <c r="I414" s="345">
        <f>379*E414/100</f>
        <v>37.9</v>
      </c>
      <c r="J414" s="346">
        <v>0</v>
      </c>
      <c r="K414" s="480"/>
      <c r="L414" s="185">
        <v>95</v>
      </c>
      <c r="M414" s="368">
        <f>SUM(L414*D414)/1000</f>
        <v>0.95</v>
      </c>
    </row>
    <row r="415" spans="1:13" x14ac:dyDescent="0.25">
      <c r="A415" s="5"/>
      <c r="B415" s="353" t="s">
        <v>228</v>
      </c>
      <c r="C415" s="343"/>
      <c r="D415" s="340">
        <v>90</v>
      </c>
      <c r="E415" s="340">
        <v>90</v>
      </c>
      <c r="F415" s="340">
        <v>2.8</v>
      </c>
      <c r="G415" s="340">
        <v>3.2</v>
      </c>
      <c r="H415" s="340">
        <v>4.7</v>
      </c>
      <c r="I415" s="345">
        <v>58</v>
      </c>
      <c r="J415" s="346">
        <v>1.3</v>
      </c>
      <c r="K415" s="480"/>
      <c r="L415" s="185">
        <v>0</v>
      </c>
      <c r="M415" s="368">
        <f>SUM(L415*D415)/1000</f>
        <v>0</v>
      </c>
    </row>
    <row r="416" spans="1:13" x14ac:dyDescent="0.25">
      <c r="A416" s="5"/>
      <c r="B416" s="254"/>
      <c r="C416" s="254"/>
      <c r="D416" s="187"/>
      <c r="E416" s="187"/>
      <c r="F416" s="130">
        <f>SUM(F412:F415)</f>
        <v>3.25</v>
      </c>
      <c r="G416" s="130">
        <f>SUM(G412:G415)</f>
        <v>3.3080000000000003</v>
      </c>
      <c r="H416" s="130">
        <f>SUM(H412:H415)</f>
        <v>14.89</v>
      </c>
      <c r="I416" s="130">
        <f>SUM(I412:I415)</f>
        <v>99.460999999999999</v>
      </c>
      <c r="J416" s="131">
        <f>SUM(J412:J415)</f>
        <v>1.3</v>
      </c>
      <c r="K416" s="158"/>
      <c r="L416" s="365"/>
      <c r="M416" s="369">
        <f>SUM(M412:M415)</f>
        <v>7.0856000000000003</v>
      </c>
    </row>
    <row r="417" spans="1:13" x14ac:dyDescent="0.25">
      <c r="A417" s="5"/>
      <c r="B417" s="254" t="s">
        <v>46</v>
      </c>
      <c r="C417" s="254"/>
      <c r="D417" s="187"/>
      <c r="E417" s="187"/>
      <c r="F417" s="142">
        <f>SUM(F404,F416,F392)</f>
        <v>9.5280999999999985</v>
      </c>
      <c r="G417" s="142">
        <f t="shared" ref="G417:J417" si="28">SUM(G404,G416,G392)</f>
        <v>11.672599999999999</v>
      </c>
      <c r="H417" s="142">
        <f t="shared" si="28"/>
        <v>69.756799999999998</v>
      </c>
      <c r="I417" s="142">
        <f t="shared" si="28"/>
        <v>412.25200000000001</v>
      </c>
      <c r="J417" s="142">
        <f t="shared" si="28"/>
        <v>1.6945000000000001</v>
      </c>
      <c r="K417" s="158"/>
      <c r="L417" s="365"/>
      <c r="M417" s="371">
        <f>SUM(M404,M416)</f>
        <v>11.347920999999999</v>
      </c>
    </row>
    <row r="418" spans="1:13" ht="15" hidden="1" customHeight="1" x14ac:dyDescent="0.25">
      <c r="A418" s="5"/>
      <c r="B418" s="107"/>
      <c r="C418" s="107"/>
      <c r="D418" s="63"/>
      <c r="E418" s="63"/>
      <c r="F418" s="63"/>
      <c r="G418" s="63"/>
      <c r="H418" s="63"/>
      <c r="I418" s="63"/>
      <c r="J418" s="96"/>
      <c r="K418" s="126"/>
      <c r="L418" s="74"/>
      <c r="M418" s="80">
        <f>SUM(M342,M390,M417)</f>
        <v>45.812812999999991</v>
      </c>
    </row>
    <row r="419" spans="1:13" ht="15" hidden="1" customHeight="1" x14ac:dyDescent="0.25">
      <c r="A419" s="5"/>
      <c r="B419" s="107"/>
      <c r="C419" s="107"/>
      <c r="D419" s="63"/>
      <c r="E419" s="63"/>
      <c r="F419" s="118"/>
      <c r="G419" s="118"/>
      <c r="H419" s="118"/>
      <c r="I419" s="118"/>
      <c r="J419" s="118"/>
      <c r="K419" s="153"/>
      <c r="L419" s="65"/>
      <c r="M419" s="72"/>
    </row>
    <row r="420" spans="1:13" ht="15" hidden="1" customHeight="1" x14ac:dyDescent="0.25">
      <c r="A420" s="20"/>
      <c r="B420" s="177"/>
      <c r="C420" s="178"/>
      <c r="D420" s="178"/>
      <c r="E420" s="178"/>
      <c r="F420" s="276"/>
      <c r="G420" s="276"/>
      <c r="H420" s="276"/>
      <c r="I420" s="276"/>
      <c r="J420" s="277"/>
      <c r="K420" s="156"/>
      <c r="L420" s="65"/>
      <c r="M420" s="71"/>
    </row>
    <row r="421" spans="1:13" x14ac:dyDescent="0.25">
      <c r="A421" s="535" t="s">
        <v>117</v>
      </c>
      <c r="B421" s="146"/>
      <c r="C421" s="22"/>
      <c r="D421" s="23"/>
      <c r="E421" s="23"/>
      <c r="F421" s="275">
        <f>SUM(F337,F390,F399,F420)</f>
        <v>17.648099999999999</v>
      </c>
      <c r="G421" s="275">
        <f>SUM(G337,G390,G399,G420)</f>
        <v>15.0655</v>
      </c>
      <c r="H421" s="275">
        <f>SUM(H337,H390,H399,H420)</f>
        <v>137.38</v>
      </c>
      <c r="I421" s="275">
        <f>SUM(I337,I390,I399,I420)</f>
        <v>755.49240000000009</v>
      </c>
      <c r="J421" s="275">
        <f>SUM(J337,J390,J399,J420)</f>
        <v>18.672000000000001</v>
      </c>
      <c r="K421" s="24"/>
      <c r="L421" s="74"/>
      <c r="M421" s="80">
        <f>SUM(M337,M390,M399,M420)</f>
        <v>52.969797999999997</v>
      </c>
    </row>
    <row r="422" spans="1:13" x14ac:dyDescent="0.25">
      <c r="A422" s="5" t="s">
        <v>118</v>
      </c>
      <c r="B422" s="13"/>
      <c r="C422" s="13"/>
      <c r="D422" s="63"/>
      <c r="E422" s="63"/>
      <c r="F422" s="13"/>
      <c r="G422" s="13"/>
      <c r="H422" s="13"/>
      <c r="I422" s="13"/>
      <c r="J422" s="96"/>
      <c r="K422" s="125"/>
      <c r="L422" s="65"/>
      <c r="M422" s="64"/>
    </row>
    <row r="423" spans="1:13" x14ac:dyDescent="0.25">
      <c r="A423" s="5" t="s">
        <v>119</v>
      </c>
      <c r="B423" s="13"/>
      <c r="C423" s="13"/>
      <c r="D423" s="105"/>
      <c r="E423" s="106"/>
      <c r="F423" s="63"/>
      <c r="G423" s="63"/>
      <c r="H423" s="63"/>
      <c r="I423" s="63"/>
      <c r="J423" s="96"/>
      <c r="K423" s="125"/>
      <c r="L423" s="65"/>
      <c r="M423" s="64"/>
    </row>
    <row r="424" spans="1:13" ht="30" x14ac:dyDescent="0.25">
      <c r="A424" s="781"/>
      <c r="B424" s="442" t="s">
        <v>193</v>
      </c>
      <c r="C424" s="124">
        <v>180</v>
      </c>
      <c r="D424" s="13"/>
      <c r="E424" s="13"/>
      <c r="F424" s="63"/>
      <c r="G424" s="63"/>
      <c r="H424" s="63"/>
      <c r="I424" s="63"/>
      <c r="J424" s="96"/>
      <c r="K424" s="125" t="s">
        <v>194</v>
      </c>
      <c r="L424" s="65"/>
      <c r="M424" s="64"/>
    </row>
    <row r="425" spans="1:13" x14ac:dyDescent="0.25">
      <c r="A425" s="782"/>
      <c r="B425" s="173" t="s">
        <v>44</v>
      </c>
      <c r="C425" s="63"/>
      <c r="D425" s="63">
        <v>126</v>
      </c>
      <c r="E425" s="161">
        <v>126</v>
      </c>
      <c r="F425" s="323">
        <v>3.528</v>
      </c>
      <c r="G425" s="63">
        <v>4.032</v>
      </c>
      <c r="H425" s="63">
        <v>5.9219999999999997</v>
      </c>
      <c r="I425" s="161">
        <v>73.08</v>
      </c>
      <c r="J425" s="96">
        <v>1.6379999999999999</v>
      </c>
      <c r="K425" s="126"/>
      <c r="L425" s="114">
        <v>21.89</v>
      </c>
      <c r="M425" s="68">
        <f t="shared" ref="M425:M430" si="29">SUM(L425*D425)/1000</f>
        <v>2.75814</v>
      </c>
    </row>
    <row r="426" spans="1:13" x14ac:dyDescent="0.25">
      <c r="A426" s="782"/>
      <c r="B426" s="173" t="s">
        <v>120</v>
      </c>
      <c r="C426" s="63"/>
      <c r="D426" s="63">
        <v>54</v>
      </c>
      <c r="E426" s="63">
        <v>54</v>
      </c>
      <c r="F426" s="323">
        <v>0</v>
      </c>
      <c r="G426" s="63">
        <v>0</v>
      </c>
      <c r="H426" s="63">
        <v>0</v>
      </c>
      <c r="I426" s="63">
        <v>0</v>
      </c>
      <c r="J426" s="96">
        <v>0</v>
      </c>
      <c r="K426" s="126"/>
      <c r="L426" s="114">
        <v>38.5</v>
      </c>
      <c r="M426" s="68">
        <f t="shared" si="29"/>
        <v>2.0790000000000002</v>
      </c>
    </row>
    <row r="427" spans="1:13" x14ac:dyDescent="0.25">
      <c r="A427" s="782"/>
      <c r="B427" s="173" t="s">
        <v>214</v>
      </c>
      <c r="C427" s="63"/>
      <c r="D427" s="63">
        <v>14.4</v>
      </c>
      <c r="E427" s="63">
        <v>14.4</v>
      </c>
      <c r="F427" s="323">
        <v>1.4970000000000001</v>
      </c>
      <c r="G427" s="63">
        <v>0.158</v>
      </c>
      <c r="H427" s="63">
        <v>10.036</v>
      </c>
      <c r="I427" s="63">
        <v>48.527999999999999</v>
      </c>
      <c r="J427" s="96">
        <v>0</v>
      </c>
      <c r="K427" s="126"/>
      <c r="L427" s="114">
        <v>21.98</v>
      </c>
      <c r="M427" s="68">
        <f t="shared" si="29"/>
        <v>0.31651200000000002</v>
      </c>
    </row>
    <row r="428" spans="1:13" x14ac:dyDescent="0.25">
      <c r="A428" s="782"/>
      <c r="B428" s="173" t="s">
        <v>20</v>
      </c>
      <c r="C428" s="63"/>
      <c r="D428" s="63">
        <v>1.44</v>
      </c>
      <c r="E428" s="63">
        <v>1.44</v>
      </c>
      <c r="F428" s="323">
        <v>0</v>
      </c>
      <c r="G428" s="63">
        <v>0</v>
      </c>
      <c r="H428" s="63">
        <v>1.4370000000000001</v>
      </c>
      <c r="I428" s="63">
        <v>5.306</v>
      </c>
      <c r="J428" s="96">
        <v>0</v>
      </c>
      <c r="K428" s="126"/>
      <c r="L428" s="114">
        <v>92.2</v>
      </c>
      <c r="M428" s="68">
        <f t="shared" si="29"/>
        <v>0.132768</v>
      </c>
    </row>
    <row r="429" spans="1:13" x14ac:dyDescent="0.25">
      <c r="A429" s="782"/>
      <c r="B429" s="173" t="s">
        <v>112</v>
      </c>
      <c r="C429" s="63"/>
      <c r="D429" s="63">
        <v>0.27</v>
      </c>
      <c r="E429" s="63">
        <v>0.27</v>
      </c>
      <c r="F429" s="323">
        <v>0</v>
      </c>
      <c r="G429" s="63">
        <v>0</v>
      </c>
      <c r="H429" s="63">
        <v>0</v>
      </c>
      <c r="I429" s="63">
        <v>0</v>
      </c>
      <c r="J429" s="96">
        <v>0</v>
      </c>
      <c r="K429" s="126"/>
      <c r="L429" s="114">
        <v>550</v>
      </c>
      <c r="M429" s="68">
        <f t="shared" si="29"/>
        <v>0.14849999999999999</v>
      </c>
    </row>
    <row r="430" spans="1:13" ht="15" hidden="1" customHeight="1" x14ac:dyDescent="0.25">
      <c r="A430" s="782"/>
      <c r="B430" s="173" t="s">
        <v>21</v>
      </c>
      <c r="C430" s="63"/>
      <c r="D430" s="63">
        <v>1.8</v>
      </c>
      <c r="E430" s="63">
        <v>1.8</v>
      </c>
      <c r="F430" s="323">
        <v>1.44E-2</v>
      </c>
      <c r="G430" s="194">
        <v>1.3049999999999999</v>
      </c>
      <c r="H430" s="63">
        <v>2.3400000000000001E-2</v>
      </c>
      <c r="I430" s="63">
        <v>11.898</v>
      </c>
      <c r="J430" s="97">
        <v>0</v>
      </c>
      <c r="K430" s="126"/>
      <c r="L430" s="114">
        <v>16.62</v>
      </c>
      <c r="M430" s="68">
        <f t="shared" si="29"/>
        <v>2.9916000000000005E-2</v>
      </c>
    </row>
    <row r="431" spans="1:13" x14ac:dyDescent="0.25">
      <c r="A431" s="782"/>
      <c r="B431" s="107"/>
      <c r="C431" s="63"/>
      <c r="D431" s="63"/>
      <c r="E431" s="63"/>
      <c r="F431" s="324">
        <f>SUM(F425:F429)</f>
        <v>5.0250000000000004</v>
      </c>
      <c r="G431" s="118">
        <f>SUM(G425:G429)</f>
        <v>4.1900000000000004</v>
      </c>
      <c r="H431" s="118">
        <f>SUM(H425:H429)</f>
        <v>17.395</v>
      </c>
      <c r="I431" s="676">
        <f>SUM(I425:I429)</f>
        <v>126.914</v>
      </c>
      <c r="J431" s="119">
        <f>SUM(J425:J429)</f>
        <v>1.6379999999999999</v>
      </c>
      <c r="K431" s="156"/>
      <c r="L431" s="114"/>
      <c r="M431" s="68"/>
    </row>
    <row r="432" spans="1:13" x14ac:dyDescent="0.25">
      <c r="A432" s="782"/>
      <c r="B432" s="529" t="s">
        <v>23</v>
      </c>
      <c r="C432" s="122">
        <v>40</v>
      </c>
      <c r="D432" s="13"/>
      <c r="E432" s="123"/>
      <c r="F432" s="110"/>
      <c r="G432" s="110"/>
      <c r="H432" s="110"/>
      <c r="I432" s="110"/>
      <c r="J432" s="97"/>
      <c r="K432" s="112" t="s">
        <v>24</v>
      </c>
      <c r="L432" s="65"/>
      <c r="M432" s="64"/>
    </row>
    <row r="433" spans="1:13" x14ac:dyDescent="0.25">
      <c r="A433" s="782"/>
      <c r="B433" s="107" t="s">
        <v>21</v>
      </c>
      <c r="C433" s="194"/>
      <c r="D433" s="63">
        <v>10</v>
      </c>
      <c r="E433" s="63">
        <v>10</v>
      </c>
      <c r="F433" s="63">
        <v>0.08</v>
      </c>
      <c r="G433" s="63">
        <v>7.25</v>
      </c>
      <c r="H433" s="63">
        <v>0.13</v>
      </c>
      <c r="I433" s="63">
        <v>66.099999999999994</v>
      </c>
      <c r="J433" s="231">
        <v>0</v>
      </c>
      <c r="K433" s="112"/>
      <c r="L433" s="65">
        <v>376.98</v>
      </c>
      <c r="M433" s="68">
        <f>SUM(L433*D433)/1000</f>
        <v>3.7698</v>
      </c>
    </row>
    <row r="434" spans="1:13" x14ac:dyDescent="0.25">
      <c r="A434" s="782"/>
      <c r="B434" s="107" t="s">
        <v>25</v>
      </c>
      <c r="C434" s="194"/>
      <c r="D434" s="63">
        <v>30</v>
      </c>
      <c r="E434" s="63">
        <v>30</v>
      </c>
      <c r="F434" s="63">
        <v>2.31</v>
      </c>
      <c r="G434" s="63">
        <v>0.9</v>
      </c>
      <c r="H434" s="63">
        <v>14.94</v>
      </c>
      <c r="I434" s="63">
        <v>78.599999999999994</v>
      </c>
      <c r="J434" s="231">
        <v>0</v>
      </c>
      <c r="K434" s="112"/>
      <c r="L434" s="65">
        <v>50</v>
      </c>
      <c r="M434" s="68">
        <f>SUM(L434*D434)/1000</f>
        <v>1.5</v>
      </c>
    </row>
    <row r="435" spans="1:13" x14ac:dyDescent="0.25">
      <c r="A435" s="782"/>
      <c r="B435" s="107"/>
      <c r="C435" s="107"/>
      <c r="D435" s="63"/>
      <c r="E435" s="63"/>
      <c r="F435" s="118">
        <f>SUM(F433:F434)</f>
        <v>2.39</v>
      </c>
      <c r="G435" s="118">
        <f>SUM(G433:G434)</f>
        <v>8.15</v>
      </c>
      <c r="H435" s="118">
        <f>SUM(H433:H434)</f>
        <v>15.07</v>
      </c>
      <c r="I435" s="118">
        <f>SUM(I433:I434)</f>
        <v>144.69999999999999</v>
      </c>
      <c r="J435" s="119">
        <f>SUM(J433:J434)</f>
        <v>0</v>
      </c>
      <c r="K435" s="156"/>
      <c r="L435" s="65"/>
      <c r="M435" s="72">
        <f>SUM(M433:M434)</f>
        <v>5.2698</v>
      </c>
    </row>
    <row r="436" spans="1:13" x14ac:dyDescent="0.25">
      <c r="A436" s="782"/>
      <c r="B436" s="529" t="s">
        <v>99</v>
      </c>
      <c r="C436" s="124">
        <v>180</v>
      </c>
      <c r="D436" s="13"/>
      <c r="E436" s="13"/>
      <c r="F436" s="63"/>
      <c r="G436" s="63"/>
      <c r="H436" s="63"/>
      <c r="I436" s="63"/>
      <c r="J436" s="96"/>
      <c r="K436" s="155" t="s">
        <v>179</v>
      </c>
      <c r="L436" s="65"/>
      <c r="M436" s="89"/>
    </row>
    <row r="437" spans="1:13" x14ac:dyDescent="0.25">
      <c r="A437" s="782"/>
      <c r="B437" s="107" t="s">
        <v>100</v>
      </c>
      <c r="C437" s="107"/>
      <c r="D437" s="63">
        <v>2</v>
      </c>
      <c r="E437" s="63">
        <v>2</v>
      </c>
      <c r="F437" s="63">
        <v>0.48</v>
      </c>
      <c r="G437" s="63">
        <v>0.3</v>
      </c>
      <c r="H437" s="63">
        <v>0.20399999999999999</v>
      </c>
      <c r="I437" s="63">
        <v>5.78</v>
      </c>
      <c r="J437" s="231">
        <v>0</v>
      </c>
      <c r="K437" s="126"/>
      <c r="L437" s="114">
        <v>450</v>
      </c>
      <c r="M437" s="68">
        <f>SUM(L437*D437)/1000</f>
        <v>0.9</v>
      </c>
    </row>
    <row r="438" spans="1:13" x14ac:dyDescent="0.25">
      <c r="A438" s="782"/>
      <c r="B438" s="107" t="s">
        <v>44</v>
      </c>
      <c r="C438" s="107"/>
      <c r="D438" s="63">
        <v>110</v>
      </c>
      <c r="E438" s="63">
        <v>110</v>
      </c>
      <c r="F438" s="63">
        <v>3.08</v>
      </c>
      <c r="G438" s="63">
        <v>3.52</v>
      </c>
      <c r="H438" s="63">
        <v>5.17</v>
      </c>
      <c r="I438" s="63">
        <v>63.8</v>
      </c>
      <c r="J438" s="96">
        <v>1.43</v>
      </c>
      <c r="K438" s="126"/>
      <c r="L438" s="114">
        <v>43.22</v>
      </c>
      <c r="M438" s="68">
        <f>SUM(L438*D438)/1000</f>
        <v>4.7542</v>
      </c>
    </row>
    <row r="439" spans="1:13" x14ac:dyDescent="0.25">
      <c r="A439" s="782"/>
      <c r="B439" s="107" t="s">
        <v>49</v>
      </c>
      <c r="C439" s="107"/>
      <c r="D439" s="63">
        <v>10</v>
      </c>
      <c r="E439" s="63">
        <v>10</v>
      </c>
      <c r="F439" s="63">
        <v>0</v>
      </c>
      <c r="G439" s="63">
        <v>0</v>
      </c>
      <c r="H439" s="63">
        <v>9.98</v>
      </c>
      <c r="I439" s="63">
        <v>37.9</v>
      </c>
      <c r="J439" s="96">
        <v>0</v>
      </c>
      <c r="K439" s="126"/>
      <c r="L439" s="114">
        <v>50.7</v>
      </c>
      <c r="M439" s="68">
        <f>SUM(L439*D439)/1000</f>
        <v>0.50700000000000001</v>
      </c>
    </row>
    <row r="440" spans="1:13" x14ac:dyDescent="0.25">
      <c r="A440" s="782"/>
      <c r="B440" s="107" t="s">
        <v>19</v>
      </c>
      <c r="C440" s="107"/>
      <c r="D440" s="63">
        <v>80</v>
      </c>
      <c r="E440" s="63">
        <v>80</v>
      </c>
      <c r="F440" s="63">
        <v>0</v>
      </c>
      <c r="G440" s="63">
        <v>0</v>
      </c>
      <c r="H440" s="63">
        <v>0</v>
      </c>
      <c r="I440" s="63">
        <v>0</v>
      </c>
      <c r="J440" s="96">
        <v>0</v>
      </c>
      <c r="K440" s="126"/>
      <c r="L440" s="114">
        <v>0</v>
      </c>
      <c r="M440" s="68">
        <f>SUM(L440*D440)/1000</f>
        <v>0</v>
      </c>
    </row>
    <row r="441" spans="1:13" x14ac:dyDescent="0.25">
      <c r="A441" s="783"/>
      <c r="B441" s="157"/>
      <c r="C441" s="157"/>
      <c r="D441" s="51"/>
      <c r="E441" s="51"/>
      <c r="F441" s="267">
        <f>SUM(F437:F440)</f>
        <v>3.56</v>
      </c>
      <c r="G441" s="267">
        <f t="shared" ref="G441:J441" si="30">SUM(G437:G440)</f>
        <v>3.82</v>
      </c>
      <c r="H441" s="267">
        <f t="shared" si="30"/>
        <v>15.353999999999999</v>
      </c>
      <c r="I441" s="267">
        <f t="shared" si="30"/>
        <v>107.47999999999999</v>
      </c>
      <c r="J441" s="267">
        <f t="shared" si="30"/>
        <v>1.43</v>
      </c>
      <c r="K441" s="156"/>
      <c r="L441" s="65"/>
      <c r="M441" s="72">
        <f>SUM(M438:M440)</f>
        <v>5.2611999999999997</v>
      </c>
    </row>
    <row r="442" spans="1:13" ht="15" hidden="1" customHeight="1" x14ac:dyDescent="0.25">
      <c r="A442" s="527"/>
      <c r="B442" s="124"/>
      <c r="C442" s="124"/>
      <c r="D442" s="63"/>
      <c r="E442" s="63"/>
      <c r="F442" s="130"/>
      <c r="G442" s="130"/>
      <c r="H442" s="130"/>
      <c r="I442" s="130"/>
      <c r="J442" s="131"/>
      <c r="K442" s="162"/>
      <c r="L442" s="65"/>
      <c r="M442" s="67"/>
    </row>
    <row r="443" spans="1:13" x14ac:dyDescent="0.25">
      <c r="A443" s="570" t="s">
        <v>365</v>
      </c>
      <c r="B443" s="124" t="s">
        <v>206</v>
      </c>
      <c r="C443" s="124">
        <v>100</v>
      </c>
      <c r="D443" s="63">
        <v>100</v>
      </c>
      <c r="E443" s="63">
        <v>100</v>
      </c>
      <c r="F443" s="308">
        <v>1.5</v>
      </c>
      <c r="G443" s="308">
        <v>0.5</v>
      </c>
      <c r="H443" s="308">
        <v>21</v>
      </c>
      <c r="I443" s="308">
        <v>96</v>
      </c>
      <c r="J443" s="309">
        <v>10</v>
      </c>
      <c r="K443" s="162" t="s">
        <v>207</v>
      </c>
      <c r="L443" s="65">
        <v>55.58</v>
      </c>
      <c r="M443" s="69">
        <f>SUM(L443*D443)/1000</f>
        <v>5.5579999999999998</v>
      </c>
    </row>
    <row r="444" spans="1:13" x14ac:dyDescent="0.25">
      <c r="A444" s="528"/>
      <c r="B444" s="124" t="s">
        <v>57</v>
      </c>
      <c r="C444" s="124"/>
      <c r="D444" s="63"/>
      <c r="E444" s="13"/>
      <c r="F444" s="311">
        <f>SUM(F425,F435,F441:F443)</f>
        <v>10.978</v>
      </c>
      <c r="G444" s="311">
        <f>SUM(G425,G435,G441:G443)</f>
        <v>16.501999999999999</v>
      </c>
      <c r="H444" s="311">
        <f>SUM(H425,H435,H441:H443)</f>
        <v>57.346000000000004</v>
      </c>
      <c r="I444" s="311">
        <f>SUM(I425,I435,I441:I443)</f>
        <v>421.26</v>
      </c>
      <c r="J444" s="311">
        <f>SUM(J425,J435,J441:J443)</f>
        <v>13.068</v>
      </c>
      <c r="L444" s="65"/>
      <c r="M444" s="311"/>
    </row>
    <row r="445" spans="1:13" x14ac:dyDescent="0.25">
      <c r="A445" s="61" t="s">
        <v>58</v>
      </c>
      <c r="K445" s="162"/>
      <c r="L445" s="65"/>
      <c r="M445" s="64"/>
    </row>
    <row r="446" spans="1:13" x14ac:dyDescent="0.25">
      <c r="A446" s="795"/>
      <c r="B446" s="530" t="s">
        <v>217</v>
      </c>
      <c r="C446" s="140">
        <v>200</v>
      </c>
      <c r="D446" s="154"/>
      <c r="E446" s="154"/>
      <c r="F446" s="13"/>
      <c r="G446" s="13"/>
      <c r="H446" s="13"/>
      <c r="I446" s="13"/>
      <c r="J446" s="96"/>
      <c r="K446" s="125" t="s">
        <v>134</v>
      </c>
      <c r="L446" s="65"/>
      <c r="M446" s="64"/>
    </row>
    <row r="447" spans="1:13" x14ac:dyDescent="0.25">
      <c r="A447" s="796"/>
      <c r="B447" s="96" t="s">
        <v>36</v>
      </c>
      <c r="C447" s="96"/>
      <c r="D447" s="98">
        <v>53.4</v>
      </c>
      <c r="E447" s="98">
        <v>40</v>
      </c>
      <c r="F447" s="102">
        <v>0.8</v>
      </c>
      <c r="G447" s="63">
        <v>0.16</v>
      </c>
      <c r="H447" s="63">
        <v>6.52</v>
      </c>
      <c r="I447" s="63">
        <v>30.8</v>
      </c>
      <c r="J447" s="96">
        <v>8</v>
      </c>
      <c r="K447" s="152"/>
      <c r="L447" s="114">
        <v>21.89</v>
      </c>
      <c r="M447" s="68">
        <f t="shared" ref="M447:M454" si="31">SUM(L447*D447)/1000</f>
        <v>1.1689259999999999</v>
      </c>
    </row>
    <row r="448" spans="1:13" x14ac:dyDescent="0.25">
      <c r="A448" s="796"/>
      <c r="B448" s="96" t="s">
        <v>135</v>
      </c>
      <c r="C448" s="96"/>
      <c r="D448" s="98">
        <v>16.2</v>
      </c>
      <c r="E448" s="98">
        <v>16</v>
      </c>
      <c r="F448" s="102">
        <v>3.68</v>
      </c>
      <c r="G448" s="63">
        <v>0.25600000000000001</v>
      </c>
      <c r="H448" s="63">
        <v>8.1280000000000001</v>
      </c>
      <c r="I448" s="63">
        <v>50.24</v>
      </c>
      <c r="J448" s="96">
        <v>0</v>
      </c>
      <c r="K448" s="152"/>
      <c r="L448" s="114">
        <v>39.630000000000003</v>
      </c>
      <c r="M448" s="68">
        <f t="shared" si="31"/>
        <v>0.64200599999999997</v>
      </c>
    </row>
    <row r="449" spans="1:13" x14ac:dyDescent="0.25">
      <c r="A449" s="796"/>
      <c r="B449" s="96" t="s">
        <v>32</v>
      </c>
      <c r="C449" s="96"/>
      <c r="D449" s="98">
        <v>10</v>
      </c>
      <c r="E449" s="98">
        <v>8</v>
      </c>
      <c r="F449" s="102">
        <v>0.112</v>
      </c>
      <c r="G449" s="63">
        <v>1.6E-2</v>
      </c>
      <c r="H449" s="63">
        <v>0.65600000000000003</v>
      </c>
      <c r="I449" s="63">
        <v>3.28</v>
      </c>
      <c r="J449" s="96">
        <v>0.8</v>
      </c>
      <c r="K449" s="152"/>
      <c r="L449" s="114">
        <v>21.98</v>
      </c>
      <c r="M449" s="68">
        <f t="shared" si="31"/>
        <v>0.21980000000000002</v>
      </c>
    </row>
    <row r="450" spans="1:13" x14ac:dyDescent="0.25">
      <c r="A450" s="796"/>
      <c r="B450" s="96" t="s">
        <v>59</v>
      </c>
      <c r="C450" s="96"/>
      <c r="D450" s="98">
        <v>12.6</v>
      </c>
      <c r="E450" s="98">
        <v>10</v>
      </c>
      <c r="F450" s="102">
        <v>0.13</v>
      </c>
      <c r="G450" s="63">
        <v>0.01</v>
      </c>
      <c r="H450" s="63">
        <v>0.69</v>
      </c>
      <c r="I450" s="63">
        <v>3.5</v>
      </c>
      <c r="J450" s="96">
        <v>0.5</v>
      </c>
      <c r="K450" s="152"/>
      <c r="L450" s="114">
        <v>38.5</v>
      </c>
      <c r="M450" s="68">
        <f t="shared" si="31"/>
        <v>0.48509999999999998</v>
      </c>
    </row>
    <row r="451" spans="1:13" x14ac:dyDescent="0.25">
      <c r="A451" s="796"/>
      <c r="B451" s="96" t="s">
        <v>37</v>
      </c>
      <c r="C451" s="96"/>
      <c r="D451" s="98">
        <v>4</v>
      </c>
      <c r="E451" s="98">
        <v>4</v>
      </c>
      <c r="F451" s="102">
        <v>0</v>
      </c>
      <c r="G451" s="63">
        <v>3.996</v>
      </c>
      <c r="H451" s="63">
        <v>0</v>
      </c>
      <c r="I451" s="63">
        <v>35.96</v>
      </c>
      <c r="J451" s="96">
        <v>0</v>
      </c>
      <c r="K451" s="152"/>
      <c r="L451" s="114">
        <v>92.2</v>
      </c>
      <c r="M451" s="68">
        <f t="shared" si="31"/>
        <v>0.36880000000000002</v>
      </c>
    </row>
    <row r="452" spans="1:13" x14ac:dyDescent="0.25">
      <c r="A452" s="796"/>
      <c r="B452" s="96" t="s">
        <v>112</v>
      </c>
      <c r="C452" s="96"/>
      <c r="D452" s="98">
        <v>1.2</v>
      </c>
      <c r="E452" s="98">
        <v>1.2</v>
      </c>
      <c r="F452" s="102">
        <v>0</v>
      </c>
      <c r="G452" s="63">
        <v>0</v>
      </c>
      <c r="H452" s="63">
        <v>0</v>
      </c>
      <c r="I452" s="63">
        <v>0</v>
      </c>
      <c r="J452" s="96">
        <v>0</v>
      </c>
      <c r="K452" s="152"/>
      <c r="L452" s="114">
        <v>16.62</v>
      </c>
      <c r="M452" s="68">
        <f t="shared" si="31"/>
        <v>1.9944E-2</v>
      </c>
    </row>
    <row r="453" spans="1:13" x14ac:dyDescent="0.25">
      <c r="A453" s="796"/>
      <c r="B453" s="96" t="s">
        <v>61</v>
      </c>
      <c r="C453" s="96"/>
      <c r="D453" s="98">
        <v>7.0000000000000001E-3</v>
      </c>
      <c r="E453" s="98">
        <v>7.0000000000000001E-3</v>
      </c>
      <c r="F453" s="102">
        <v>0</v>
      </c>
      <c r="G453" s="63">
        <v>0</v>
      </c>
      <c r="H453" s="63">
        <v>0</v>
      </c>
      <c r="I453" s="63">
        <v>0</v>
      </c>
      <c r="J453" s="96">
        <v>0</v>
      </c>
      <c r="K453" s="152"/>
      <c r="L453" s="114">
        <v>0</v>
      </c>
      <c r="M453" s="68">
        <f t="shared" si="31"/>
        <v>0</v>
      </c>
    </row>
    <row r="454" spans="1:13" x14ac:dyDescent="0.25">
      <c r="A454" s="796"/>
      <c r="B454" s="96" t="s">
        <v>19</v>
      </c>
      <c r="C454" s="96"/>
      <c r="D454" s="98">
        <v>140</v>
      </c>
      <c r="E454" s="98">
        <v>140</v>
      </c>
      <c r="F454" s="102">
        <v>0</v>
      </c>
      <c r="G454" s="63">
        <v>0</v>
      </c>
      <c r="H454" s="63">
        <v>0</v>
      </c>
      <c r="I454" s="63">
        <v>0</v>
      </c>
      <c r="J454" s="96">
        <v>0</v>
      </c>
      <c r="K454" s="126"/>
      <c r="L454" s="114">
        <v>0</v>
      </c>
      <c r="M454" s="68">
        <f t="shared" si="31"/>
        <v>0</v>
      </c>
    </row>
    <row r="455" spans="1:13" x14ac:dyDescent="0.25">
      <c r="A455" s="796"/>
      <c r="B455" s="107"/>
      <c r="C455" s="107"/>
      <c r="D455" s="141"/>
      <c r="E455" s="141"/>
      <c r="F455" s="118">
        <f>SUM(F447:F454)</f>
        <v>4.7220000000000004</v>
      </c>
      <c r="G455" s="118">
        <f>SUM(G447:G454)</f>
        <v>4.4379999999999997</v>
      </c>
      <c r="H455" s="118">
        <f>SUM(H447:H454)</f>
        <v>15.994</v>
      </c>
      <c r="I455" s="118">
        <f>SUM(I447:I454)</f>
        <v>123.78</v>
      </c>
      <c r="J455" s="119">
        <f>SUM(J447:J454)</f>
        <v>9.3000000000000007</v>
      </c>
      <c r="K455" s="156"/>
      <c r="L455" s="65"/>
      <c r="M455" s="72">
        <f>SUM(M447:M454)</f>
        <v>2.904576</v>
      </c>
    </row>
    <row r="456" spans="1:13" x14ac:dyDescent="0.25">
      <c r="A456" s="796"/>
      <c r="B456" s="443" t="s">
        <v>305</v>
      </c>
      <c r="C456" s="339" t="s">
        <v>326</v>
      </c>
      <c r="D456" s="340"/>
      <c r="E456" s="340"/>
      <c r="F456" s="417">
        <f>F457+F458+F459</f>
        <v>15.895</v>
      </c>
      <c r="G456" s="417">
        <f>G457+G458+G459</f>
        <v>16.082600000000003</v>
      </c>
      <c r="H456" s="417">
        <f>H457+H458+H459</f>
        <v>0</v>
      </c>
      <c r="I456" s="417">
        <f>I457+I458+I459</f>
        <v>208.57599999999999</v>
      </c>
      <c r="J456" s="417">
        <f>J457+J458+J459</f>
        <v>1.7</v>
      </c>
      <c r="K456" s="483" t="s">
        <v>325</v>
      </c>
      <c r="L456" s="65"/>
      <c r="M456" s="64"/>
    </row>
    <row r="457" spans="1:13" x14ac:dyDescent="0.25">
      <c r="A457" s="796"/>
      <c r="B457" s="441" t="s">
        <v>260</v>
      </c>
      <c r="C457" s="354"/>
      <c r="D457" s="340">
        <v>117.6</v>
      </c>
      <c r="E457" s="340">
        <v>85</v>
      </c>
      <c r="F457" s="340">
        <f>18.7*E457/100</f>
        <v>15.895</v>
      </c>
      <c r="G457" s="340">
        <f>16.1*E457/100</f>
        <v>13.685000000000002</v>
      </c>
      <c r="H457" s="340">
        <v>0</v>
      </c>
      <c r="I457" s="345">
        <f>220*E457/100</f>
        <v>187</v>
      </c>
      <c r="J457" s="346">
        <f>2*E457/100</f>
        <v>1.7</v>
      </c>
      <c r="K457" s="483"/>
      <c r="L457" s="114">
        <v>136.62</v>
      </c>
      <c r="M457" s="68">
        <f>SUM(L457*D457)/1000</f>
        <v>16.066511999999999</v>
      </c>
    </row>
    <row r="458" spans="1:13" x14ac:dyDescent="0.25">
      <c r="A458" s="796"/>
      <c r="B458" s="441" t="s">
        <v>287</v>
      </c>
      <c r="C458" s="354"/>
      <c r="D458" s="340">
        <v>2.4</v>
      </c>
      <c r="E458" s="340">
        <v>2.4</v>
      </c>
      <c r="F458" s="340">
        <v>0</v>
      </c>
      <c r="G458" s="340">
        <f>99.9*E458/100</f>
        <v>2.3975999999999997</v>
      </c>
      <c r="H458" s="355">
        <v>0</v>
      </c>
      <c r="I458" s="356">
        <f>899*E458/100</f>
        <v>21.576000000000001</v>
      </c>
      <c r="J458" s="346">
        <v>0</v>
      </c>
      <c r="K458" s="483"/>
      <c r="L458" s="114">
        <v>35</v>
      </c>
      <c r="M458" s="68">
        <f>SUM(L458*D458)/1000</f>
        <v>8.4000000000000005E-2</v>
      </c>
    </row>
    <row r="459" spans="1:13" x14ac:dyDescent="0.25">
      <c r="A459" s="796"/>
      <c r="B459" s="441" t="s">
        <v>231</v>
      </c>
      <c r="C459" s="354"/>
      <c r="D459" s="340">
        <v>0.2</v>
      </c>
      <c r="E459" s="340">
        <v>0.2</v>
      </c>
      <c r="F459" s="340">
        <v>0</v>
      </c>
      <c r="G459" s="340">
        <v>0</v>
      </c>
      <c r="H459" s="340">
        <v>0</v>
      </c>
      <c r="I459" s="345">
        <v>0</v>
      </c>
      <c r="J459" s="346">
        <v>0</v>
      </c>
      <c r="K459" s="483"/>
      <c r="L459" s="114">
        <v>43.22</v>
      </c>
      <c r="M459" s="68">
        <f>SUM(L459*D459)/1000</f>
        <v>8.6440000000000006E-3</v>
      </c>
    </row>
    <row r="460" spans="1:13" x14ac:dyDescent="0.25">
      <c r="A460" s="796"/>
      <c r="B460" s="441" t="s">
        <v>306</v>
      </c>
      <c r="C460" s="354"/>
      <c r="D460" s="340">
        <v>60</v>
      </c>
      <c r="E460" s="340">
        <v>60</v>
      </c>
      <c r="F460" s="340" t="s">
        <v>48</v>
      </c>
      <c r="G460" s="340" t="s">
        <v>48</v>
      </c>
      <c r="H460" s="340" t="s">
        <v>48</v>
      </c>
      <c r="I460" s="345">
        <f>35*E460/100</f>
        <v>21</v>
      </c>
      <c r="J460" s="346" t="s">
        <v>48</v>
      </c>
      <c r="K460" s="483"/>
      <c r="L460" s="114">
        <v>376.98</v>
      </c>
      <c r="M460" s="68">
        <f>SUM(L460*D460)/1000</f>
        <v>22.618800000000004</v>
      </c>
    </row>
    <row r="461" spans="1:13" x14ac:dyDescent="0.25">
      <c r="A461" s="796"/>
      <c r="B461" s="361" t="s">
        <v>245</v>
      </c>
      <c r="C461" s="339">
        <v>60</v>
      </c>
      <c r="D461" s="358"/>
      <c r="E461" s="340"/>
      <c r="F461" s="417">
        <f>F462+F463+F464+F465+F466+F467+F468+F469+F470</f>
        <v>0.50340000000000007</v>
      </c>
      <c r="G461" s="417">
        <f>G462+G463+G464+G465+G466+G467+G468+G469+G470</f>
        <v>1.2389999999999997</v>
      </c>
      <c r="H461" s="417">
        <f>H462+H463+H464+H465+H466+H467+H468+H469+H470</f>
        <v>3.8537999999999997</v>
      </c>
      <c r="I461" s="417">
        <f>I462+I463+I464+I465+I466+I467+I468+I469+I470</f>
        <v>28.839000000000002</v>
      </c>
      <c r="J461" s="417">
        <f>J462+J463+J464+J465+J466+J467+J468+J469+J470</f>
        <v>1.44</v>
      </c>
      <c r="K461" s="482" t="s">
        <v>307</v>
      </c>
      <c r="L461" s="114">
        <v>16.62</v>
      </c>
      <c r="M461" s="68">
        <f>SUM(L461*D461)/1000</f>
        <v>0</v>
      </c>
    </row>
    <row r="462" spans="1:13" x14ac:dyDescent="0.25">
      <c r="A462" s="796"/>
      <c r="B462" s="353" t="s">
        <v>246</v>
      </c>
      <c r="C462" s="343"/>
      <c r="D462" s="340">
        <v>60</v>
      </c>
      <c r="E462" s="340">
        <v>60</v>
      </c>
      <c r="F462" s="340">
        <v>0</v>
      </c>
      <c r="G462" s="340">
        <v>0</v>
      </c>
      <c r="H462" s="340">
        <v>0</v>
      </c>
      <c r="I462" s="345">
        <v>0</v>
      </c>
      <c r="J462" s="346">
        <v>0</v>
      </c>
      <c r="K462" s="483"/>
      <c r="L462" s="65"/>
      <c r="M462" s="72">
        <f>SUM(M457:M460)</f>
        <v>38.777956000000003</v>
      </c>
    </row>
    <row r="463" spans="1:13" x14ac:dyDescent="0.25">
      <c r="A463" s="796"/>
      <c r="B463" s="353" t="s">
        <v>241</v>
      </c>
      <c r="C463" s="343"/>
      <c r="D463" s="340">
        <v>1.2</v>
      </c>
      <c r="E463" s="340">
        <v>1.2</v>
      </c>
      <c r="F463" s="340">
        <v>0</v>
      </c>
      <c r="G463" s="340">
        <f>99.9*E463/100</f>
        <v>1.1987999999999999</v>
      </c>
      <c r="H463" s="355">
        <v>0</v>
      </c>
      <c r="I463" s="356">
        <f>899*E463/100</f>
        <v>10.788</v>
      </c>
      <c r="J463" s="346">
        <v>0</v>
      </c>
      <c r="K463" s="483"/>
      <c r="L463" s="65"/>
      <c r="M463" s="64"/>
    </row>
    <row r="464" spans="1:13" x14ac:dyDescent="0.25">
      <c r="A464" s="796"/>
      <c r="B464" s="353" t="s">
        <v>247</v>
      </c>
      <c r="C464" s="354"/>
      <c r="D464" s="340">
        <v>3</v>
      </c>
      <c r="E464" s="340">
        <v>3</v>
      </c>
      <c r="F464" s="340">
        <f>10.3*E464/100</f>
        <v>0.309</v>
      </c>
      <c r="G464" s="340">
        <f>1.1*E464/100</f>
        <v>3.3000000000000002E-2</v>
      </c>
      <c r="H464" s="340">
        <f>69*E464/100</f>
        <v>2.0699999999999998</v>
      </c>
      <c r="I464" s="345">
        <f>334*E464/100</f>
        <v>10.02</v>
      </c>
      <c r="J464" s="346">
        <v>0</v>
      </c>
      <c r="K464" s="483"/>
      <c r="L464" s="114">
        <v>25.38</v>
      </c>
      <c r="M464" s="68">
        <f t="shared" ref="M464:M469" si="32">SUM(L464*D464)/1000</f>
        <v>7.6139999999999999E-2</v>
      </c>
    </row>
    <row r="465" spans="1:13" x14ac:dyDescent="0.25">
      <c r="A465" s="796"/>
      <c r="B465" s="353" t="s">
        <v>240</v>
      </c>
      <c r="C465" s="343"/>
      <c r="D465" s="340">
        <v>2.4</v>
      </c>
      <c r="E465" s="340">
        <v>2.4</v>
      </c>
      <c r="F465" s="340">
        <f>4.8*E465/100</f>
        <v>0.1152</v>
      </c>
      <c r="G465" s="340">
        <v>0</v>
      </c>
      <c r="H465" s="340">
        <f>19*E465/100</f>
        <v>0.45600000000000002</v>
      </c>
      <c r="I465" s="345">
        <f>102*E465/100</f>
        <v>2.448</v>
      </c>
      <c r="J465" s="346">
        <f>45*E465/100</f>
        <v>1.08</v>
      </c>
      <c r="K465" s="483"/>
      <c r="L465" s="114">
        <v>21.98</v>
      </c>
      <c r="M465" s="68">
        <f t="shared" si="32"/>
        <v>5.2752E-2</v>
      </c>
    </row>
    <row r="466" spans="1:13" x14ac:dyDescent="0.25">
      <c r="A466" s="796"/>
      <c r="B466" s="353" t="s">
        <v>238</v>
      </c>
      <c r="C466" s="343"/>
      <c r="D466" s="340">
        <v>6</v>
      </c>
      <c r="E466" s="340">
        <v>4.8</v>
      </c>
      <c r="F466" s="340">
        <f>1.3*E466/100</f>
        <v>6.2400000000000004E-2</v>
      </c>
      <c r="G466" s="340">
        <f>0.1*E466/100</f>
        <v>4.7999999999999996E-3</v>
      </c>
      <c r="H466" s="355">
        <f>6.9*E466/100</f>
        <v>0.33119999999999999</v>
      </c>
      <c r="I466" s="356">
        <f>35*E466/100</f>
        <v>1.68</v>
      </c>
      <c r="J466" s="346">
        <f>5*E466/100</f>
        <v>0.24</v>
      </c>
      <c r="K466" s="483"/>
      <c r="L466" s="114">
        <v>120</v>
      </c>
      <c r="M466" s="68">
        <f t="shared" si="32"/>
        <v>0.72</v>
      </c>
    </row>
    <row r="467" spans="1:13" x14ac:dyDescent="0.25">
      <c r="A467" s="796"/>
      <c r="B467" s="353" t="s">
        <v>239</v>
      </c>
      <c r="C467" s="343"/>
      <c r="D467" s="340">
        <v>1.4</v>
      </c>
      <c r="E467" s="340">
        <v>1.2</v>
      </c>
      <c r="F467" s="340">
        <f>1.4*E467/100</f>
        <v>1.6799999999999999E-2</v>
      </c>
      <c r="G467" s="340">
        <f>0.2*E467/100</f>
        <v>2.3999999999999998E-3</v>
      </c>
      <c r="H467" s="355">
        <f>8.2*E467/100</f>
        <v>9.8399999999999987E-2</v>
      </c>
      <c r="I467" s="356">
        <f>41*E467/100</f>
        <v>0.49199999999999994</v>
      </c>
      <c r="J467" s="346">
        <f>10*E467/100</f>
        <v>0.12</v>
      </c>
      <c r="K467" s="483"/>
      <c r="L467" s="114">
        <v>92.2</v>
      </c>
      <c r="M467" s="68">
        <f t="shared" si="32"/>
        <v>0.12907999999999997</v>
      </c>
    </row>
    <row r="468" spans="1:13" x14ac:dyDescent="0.25">
      <c r="A468" s="796"/>
      <c r="B468" s="353" t="s">
        <v>230</v>
      </c>
      <c r="C468" s="343"/>
      <c r="D468" s="340">
        <v>0.9</v>
      </c>
      <c r="E468" s="340">
        <v>0.9</v>
      </c>
      <c r="F468" s="340">
        <v>0</v>
      </c>
      <c r="G468" s="340">
        <v>0</v>
      </c>
      <c r="H468" s="340">
        <f>99.8*E468/100</f>
        <v>0.89819999999999989</v>
      </c>
      <c r="I468" s="345">
        <f>379*E468/100</f>
        <v>3.411</v>
      </c>
      <c r="J468" s="346">
        <v>0</v>
      </c>
      <c r="K468" s="483"/>
      <c r="L468" s="114">
        <v>16.62</v>
      </c>
      <c r="M468" s="68">
        <f t="shared" si="32"/>
        <v>1.4958000000000003E-2</v>
      </c>
    </row>
    <row r="469" spans="1:13" x14ac:dyDescent="0.25">
      <c r="A469" s="796"/>
      <c r="B469" s="353" t="s">
        <v>231</v>
      </c>
      <c r="C469" s="343"/>
      <c r="D469" s="340">
        <v>0.6</v>
      </c>
      <c r="E469" s="340">
        <v>0.6</v>
      </c>
      <c r="F469" s="340">
        <v>0</v>
      </c>
      <c r="G469" s="340">
        <v>0</v>
      </c>
      <c r="H469" s="340">
        <v>0</v>
      </c>
      <c r="I469" s="345">
        <v>0</v>
      </c>
      <c r="J469" s="346">
        <v>0</v>
      </c>
      <c r="K469" s="483"/>
      <c r="L469" s="114">
        <v>50.7</v>
      </c>
      <c r="M469" s="68">
        <f t="shared" si="32"/>
        <v>3.0420000000000003E-2</v>
      </c>
    </row>
    <row r="470" spans="1:13" x14ac:dyDescent="0.25">
      <c r="A470" s="796"/>
      <c r="B470" s="444" t="s">
        <v>242</v>
      </c>
      <c r="C470" s="445"/>
      <c r="D470" s="446">
        <v>2.4E-2</v>
      </c>
      <c r="E470" s="446">
        <v>2.4E-2</v>
      </c>
      <c r="F470" s="386">
        <v>0</v>
      </c>
      <c r="G470" s="386">
        <v>0</v>
      </c>
      <c r="H470" s="386">
        <v>0</v>
      </c>
      <c r="I470" s="447">
        <v>0</v>
      </c>
      <c r="J470" s="448">
        <v>0</v>
      </c>
      <c r="K470" s="490"/>
      <c r="L470" s="65"/>
      <c r="M470" s="72">
        <f>SUM(M464:M469)</f>
        <v>1.02335</v>
      </c>
    </row>
    <row r="471" spans="1:13" x14ac:dyDescent="0.25">
      <c r="A471" s="796"/>
      <c r="B471" s="424" t="s">
        <v>308</v>
      </c>
      <c r="C471" s="425">
        <v>120</v>
      </c>
      <c r="D471" s="366"/>
      <c r="E471" s="366"/>
      <c r="F471" s="366"/>
      <c r="G471" s="366"/>
      <c r="H471" s="366"/>
      <c r="I471" s="366"/>
      <c r="J471" s="366"/>
      <c r="K471" s="423" t="s">
        <v>222</v>
      </c>
      <c r="L471" s="65"/>
      <c r="M471" s="72"/>
    </row>
    <row r="472" spans="1:13" ht="30" x14ac:dyDescent="0.25">
      <c r="A472" s="796"/>
      <c r="B472" s="420" t="s">
        <v>309</v>
      </c>
      <c r="C472" s="421"/>
      <c r="D472" s="64">
        <v>55.2</v>
      </c>
      <c r="E472" s="64">
        <v>55.2</v>
      </c>
      <c r="F472" s="417">
        <f>12.6*E472/100</f>
        <v>6.9551999999999996</v>
      </c>
      <c r="G472" s="417">
        <f>3.3*E472/100</f>
        <v>1.8215999999999999</v>
      </c>
      <c r="H472" s="417">
        <f>62.1*E472/100</f>
        <v>34.279200000000003</v>
      </c>
      <c r="I472" s="418">
        <f>335*E472/100</f>
        <v>184.92</v>
      </c>
      <c r="J472" s="419">
        <v>0</v>
      </c>
      <c r="K472" s="422"/>
      <c r="L472" s="65"/>
      <c r="M472" s="72"/>
    </row>
    <row r="473" spans="1:13" x14ac:dyDescent="0.25">
      <c r="A473" s="796"/>
      <c r="B473" s="353" t="s">
        <v>231</v>
      </c>
      <c r="C473" s="343"/>
      <c r="D473" s="359">
        <v>1.2</v>
      </c>
      <c r="E473" s="359">
        <v>1.4</v>
      </c>
      <c r="F473" s="340">
        <v>0</v>
      </c>
      <c r="G473" s="340">
        <v>0</v>
      </c>
      <c r="H473" s="340">
        <v>0</v>
      </c>
      <c r="I473" s="345">
        <v>0</v>
      </c>
      <c r="J473" s="346">
        <v>0</v>
      </c>
      <c r="K473" s="422"/>
      <c r="L473" s="65"/>
      <c r="M473" s="72"/>
    </row>
    <row r="474" spans="1:13" x14ac:dyDescent="0.25">
      <c r="A474" s="796"/>
      <c r="B474" s="420" t="s">
        <v>310</v>
      </c>
      <c r="C474" s="421"/>
      <c r="D474" s="64"/>
      <c r="E474" s="64">
        <v>116.5</v>
      </c>
      <c r="F474" s="366"/>
      <c r="G474" s="366"/>
      <c r="H474" s="366"/>
      <c r="I474" s="366"/>
      <c r="J474" s="366"/>
      <c r="K474" s="422"/>
      <c r="L474" s="65"/>
      <c r="M474" s="72"/>
    </row>
    <row r="475" spans="1:13" x14ac:dyDescent="0.25">
      <c r="A475" s="796"/>
      <c r="B475" s="107" t="s">
        <v>21</v>
      </c>
      <c r="C475" s="194"/>
      <c r="D475" s="63">
        <v>4</v>
      </c>
      <c r="E475" s="63">
        <v>4</v>
      </c>
      <c r="F475" s="63">
        <v>0.04</v>
      </c>
      <c r="G475" s="63">
        <v>3.625</v>
      </c>
      <c r="H475" s="63">
        <v>6.5000000000000002E-2</v>
      </c>
      <c r="I475" s="63">
        <v>33.049999999999997</v>
      </c>
      <c r="J475" s="96">
        <v>0</v>
      </c>
      <c r="K475" s="422"/>
      <c r="L475" s="65"/>
      <c r="M475" s="72"/>
    </row>
    <row r="476" spans="1:13" x14ac:dyDescent="0.25">
      <c r="A476" s="796"/>
      <c r="B476" s="138" t="s">
        <v>180</v>
      </c>
      <c r="C476" s="124">
        <v>180</v>
      </c>
      <c r="D476" s="13"/>
      <c r="E476" s="13"/>
      <c r="F476" s="63"/>
      <c r="G476" s="63"/>
      <c r="H476" s="63"/>
      <c r="I476" s="63"/>
      <c r="J476" s="96"/>
      <c r="K476" s="108" t="s">
        <v>181</v>
      </c>
      <c r="L476" s="65"/>
      <c r="M476" s="64"/>
    </row>
    <row r="477" spans="1:13" ht="17.25" customHeight="1" x14ac:dyDescent="0.25">
      <c r="A477" s="796"/>
      <c r="B477" s="107" t="s">
        <v>182</v>
      </c>
      <c r="C477" s="107"/>
      <c r="D477" s="63">
        <v>18</v>
      </c>
      <c r="E477" s="63" t="s">
        <v>183</v>
      </c>
      <c r="F477" s="63">
        <v>0.93600000000000005</v>
      </c>
      <c r="G477" s="63">
        <v>5.3999999999999999E-2</v>
      </c>
      <c r="H477" s="63">
        <v>9.18</v>
      </c>
      <c r="I477" s="63">
        <v>41.76</v>
      </c>
      <c r="J477" s="96">
        <v>0.72</v>
      </c>
      <c r="K477" s="136"/>
      <c r="L477" s="114">
        <v>90</v>
      </c>
      <c r="M477" s="64">
        <f>SUM(L477*D477)/1000</f>
        <v>1.62</v>
      </c>
    </row>
    <row r="478" spans="1:13" x14ac:dyDescent="0.25">
      <c r="A478" s="796"/>
      <c r="B478" s="107" t="s">
        <v>38</v>
      </c>
      <c r="C478" s="107"/>
      <c r="D478" s="63">
        <v>14.4</v>
      </c>
      <c r="E478" s="63">
        <v>14.4</v>
      </c>
      <c r="F478" s="63">
        <v>0</v>
      </c>
      <c r="G478" s="63">
        <v>0</v>
      </c>
      <c r="H478" s="63">
        <v>14.371</v>
      </c>
      <c r="I478" s="63">
        <v>54.576000000000001</v>
      </c>
      <c r="J478" s="96">
        <v>0</v>
      </c>
      <c r="K478" s="136"/>
      <c r="L478" s="114">
        <v>50</v>
      </c>
      <c r="M478" s="64">
        <f>SUM(L478*D478)/1000</f>
        <v>0.72</v>
      </c>
    </row>
    <row r="479" spans="1:13" x14ac:dyDescent="0.25">
      <c r="A479" s="796"/>
      <c r="B479" s="107" t="s">
        <v>19</v>
      </c>
      <c r="C479" s="107"/>
      <c r="D479" s="63">
        <v>182.7</v>
      </c>
      <c r="E479" s="63">
        <v>182.7</v>
      </c>
      <c r="F479" s="63">
        <v>0</v>
      </c>
      <c r="G479" s="63">
        <v>0</v>
      </c>
      <c r="H479" s="63">
        <v>0</v>
      </c>
      <c r="I479" s="63">
        <v>0</v>
      </c>
      <c r="J479" s="96">
        <v>0</v>
      </c>
      <c r="K479" s="136"/>
      <c r="L479" s="114">
        <v>0</v>
      </c>
      <c r="M479" s="64">
        <f>SUM(L479*D479)/1000</f>
        <v>0</v>
      </c>
    </row>
    <row r="480" spans="1:13" x14ac:dyDescent="0.25">
      <c r="A480" s="796"/>
      <c r="B480" s="107"/>
      <c r="C480" s="107"/>
      <c r="D480" s="63"/>
      <c r="E480" s="63"/>
      <c r="F480" s="118">
        <f>SUM(F477:F479)</f>
        <v>0.93600000000000005</v>
      </c>
      <c r="G480" s="118">
        <f>SUM(G477:G479)</f>
        <v>5.3999999999999999E-2</v>
      </c>
      <c r="H480" s="118">
        <f>SUM(H477:H479)</f>
        <v>23.551000000000002</v>
      </c>
      <c r="I480" s="118">
        <f>SUM(I477:I479)</f>
        <v>96.335999999999999</v>
      </c>
      <c r="J480" s="118">
        <f>SUM(J477:J479)</f>
        <v>0.72</v>
      </c>
      <c r="K480" s="153"/>
      <c r="L480" s="47"/>
      <c r="M480" s="72">
        <f>SUM(M477:M479)</f>
        <v>2.34</v>
      </c>
    </row>
    <row r="481" spans="1:13" x14ac:dyDescent="0.25">
      <c r="A481" s="796"/>
      <c r="B481" s="109" t="s">
        <v>39</v>
      </c>
      <c r="C481" s="124">
        <v>40</v>
      </c>
      <c r="D481" s="63">
        <v>40</v>
      </c>
      <c r="E481" s="63">
        <v>40</v>
      </c>
      <c r="F481" s="118">
        <v>2.64</v>
      </c>
      <c r="G481" s="118">
        <v>0.48</v>
      </c>
      <c r="H481" s="118">
        <v>13.68</v>
      </c>
      <c r="I481" s="118">
        <v>72.400000000000006</v>
      </c>
      <c r="J481" s="139">
        <v>0</v>
      </c>
      <c r="K481" s="153" t="s">
        <v>73</v>
      </c>
      <c r="L481" s="114">
        <v>40</v>
      </c>
      <c r="M481" s="72">
        <f>SUM(L481*D481)/1000</f>
        <v>1.6</v>
      </c>
    </row>
    <row r="482" spans="1:13" x14ac:dyDescent="0.25">
      <c r="A482" s="796"/>
      <c r="B482" s="109" t="s">
        <v>40</v>
      </c>
      <c r="C482" s="124">
        <v>40</v>
      </c>
      <c r="D482" s="63">
        <v>40</v>
      </c>
      <c r="E482" s="63">
        <v>40</v>
      </c>
      <c r="F482" s="118">
        <v>3.85</v>
      </c>
      <c r="G482" s="118">
        <v>1.5</v>
      </c>
      <c r="H482" s="118">
        <v>24.9</v>
      </c>
      <c r="I482" s="118">
        <v>131</v>
      </c>
      <c r="J482" s="139">
        <v>0</v>
      </c>
      <c r="K482" s="153" t="s">
        <v>73</v>
      </c>
      <c r="L482" s="114">
        <v>35</v>
      </c>
      <c r="M482" s="72">
        <f>SUM(L482*D482)/1000</f>
        <v>1.4</v>
      </c>
    </row>
    <row r="483" spans="1:13" x14ac:dyDescent="0.25">
      <c r="A483" s="797"/>
      <c r="B483" s="124" t="s">
        <v>74</v>
      </c>
      <c r="C483" s="124"/>
      <c r="D483" s="180"/>
      <c r="E483" s="180"/>
      <c r="F483" s="265">
        <f>SUM(F463,F475,F480:F482,)</f>
        <v>7.4660000000000002</v>
      </c>
      <c r="G483" s="265">
        <f>SUM(G463,G475,G480:G482,)</f>
        <v>6.857800000000001</v>
      </c>
      <c r="H483" s="265">
        <f>SUM(H463,H475,H480:H482,)</f>
        <v>62.196000000000005</v>
      </c>
      <c r="I483" s="265">
        <f>SUM(I463,I475,I480:I482,)</f>
        <v>343.57399999999996</v>
      </c>
      <c r="J483" s="266">
        <f>SUM(J463,J475,J480:J482,)</f>
        <v>0.72</v>
      </c>
      <c r="K483" s="158"/>
      <c r="L483" s="65"/>
      <c r="M483" s="71">
        <f>SUM(M463,M475,M480:M482)</f>
        <v>5.34</v>
      </c>
    </row>
    <row r="484" spans="1:13" x14ac:dyDescent="0.25">
      <c r="A484" s="5" t="s">
        <v>75</v>
      </c>
      <c r="B484" s="13"/>
      <c r="C484" s="4"/>
      <c r="D484" s="105"/>
      <c r="E484" s="106"/>
      <c r="F484" s="51"/>
      <c r="G484" s="51"/>
      <c r="H484" s="51"/>
      <c r="I484" s="51"/>
      <c r="J484" s="53"/>
      <c r="K484" s="125"/>
      <c r="L484" s="65"/>
      <c r="M484" s="64"/>
    </row>
    <row r="485" spans="1:13" ht="30" x14ac:dyDescent="0.25">
      <c r="A485" s="781"/>
      <c r="B485" s="529" t="s">
        <v>145</v>
      </c>
      <c r="C485" s="105">
        <v>60</v>
      </c>
      <c r="D485" s="13"/>
      <c r="E485" s="13"/>
      <c r="F485" s="110"/>
      <c r="G485" s="110"/>
      <c r="H485" s="110"/>
      <c r="I485" s="110"/>
      <c r="J485" s="97"/>
      <c r="K485" s="112" t="s">
        <v>93</v>
      </c>
      <c r="L485" s="65"/>
      <c r="M485" s="64"/>
    </row>
    <row r="486" spans="1:13" x14ac:dyDescent="0.25">
      <c r="A486" s="782"/>
      <c r="B486" s="157" t="s">
        <v>33</v>
      </c>
      <c r="C486" s="286"/>
      <c r="D486" s="51">
        <v>27.5</v>
      </c>
      <c r="E486" s="51">
        <v>27.5</v>
      </c>
      <c r="F486" s="295">
        <v>2.8319999999999999</v>
      </c>
      <c r="G486" s="295">
        <v>0.3</v>
      </c>
      <c r="H486" s="295">
        <v>8.25</v>
      </c>
      <c r="I486" s="295">
        <v>91.85</v>
      </c>
      <c r="J486" s="296">
        <v>0</v>
      </c>
      <c r="K486" s="233"/>
      <c r="L486" s="233">
        <v>27.17</v>
      </c>
      <c r="M486" s="68">
        <f>SUM(L486*D486)/1000</f>
        <v>0.74717500000000003</v>
      </c>
    </row>
    <row r="487" spans="1:13" x14ac:dyDescent="0.25">
      <c r="A487" s="782"/>
      <c r="B487" s="186" t="s">
        <v>20</v>
      </c>
      <c r="C487" s="194"/>
      <c r="D487" s="63">
        <v>2</v>
      </c>
      <c r="E487" s="63">
        <v>2</v>
      </c>
      <c r="F487" s="297">
        <v>0</v>
      </c>
      <c r="G487" s="297">
        <v>0</v>
      </c>
      <c r="H487" s="297">
        <v>1.996</v>
      </c>
      <c r="I487" s="297">
        <v>7.58</v>
      </c>
      <c r="J487" s="298">
        <v>0</v>
      </c>
      <c r="K487" s="233"/>
      <c r="L487" s="233">
        <v>50.7</v>
      </c>
      <c r="M487" s="68">
        <f>SUM(L487*D487)/1000</f>
        <v>0.1014</v>
      </c>
    </row>
    <row r="488" spans="1:13" x14ac:dyDescent="0.25">
      <c r="A488" s="782"/>
      <c r="B488" s="107" t="s">
        <v>21</v>
      </c>
      <c r="C488" s="194"/>
      <c r="D488" s="63">
        <v>3</v>
      </c>
      <c r="E488" s="137" t="s">
        <v>196</v>
      </c>
      <c r="F488" s="194">
        <v>0.02</v>
      </c>
      <c r="G488" s="194">
        <v>2.34</v>
      </c>
      <c r="H488" s="194">
        <v>0.03</v>
      </c>
      <c r="I488" s="194">
        <v>21.27</v>
      </c>
      <c r="J488" s="97">
        <v>0</v>
      </c>
      <c r="K488" s="112"/>
      <c r="L488" s="233">
        <v>376.98</v>
      </c>
      <c r="M488" s="68">
        <f>SUM(L488*D488)/1000</f>
        <v>1.1309400000000001</v>
      </c>
    </row>
    <row r="489" spans="1:13" x14ac:dyDescent="0.25">
      <c r="A489" s="782"/>
      <c r="B489" s="107" t="s">
        <v>94</v>
      </c>
      <c r="C489" s="194"/>
      <c r="D489" s="195">
        <v>3</v>
      </c>
      <c r="E489" s="63" t="s">
        <v>198</v>
      </c>
      <c r="F489" s="297">
        <v>0.38100000000000001</v>
      </c>
      <c r="G489" s="297">
        <v>0.34499999999999997</v>
      </c>
      <c r="H489" s="297">
        <v>2.1000000000000001E-2</v>
      </c>
      <c r="I489" s="297">
        <v>4.71</v>
      </c>
      <c r="J489" s="298">
        <v>0</v>
      </c>
      <c r="K489" s="233"/>
      <c r="L489" s="233">
        <v>4.6989999999999998</v>
      </c>
      <c r="M489" s="68">
        <f>SUM(L489*D489)/40</f>
        <v>0.35242499999999999</v>
      </c>
    </row>
    <row r="490" spans="1:13" x14ac:dyDescent="0.25">
      <c r="A490" s="782"/>
      <c r="B490" s="107" t="s">
        <v>95</v>
      </c>
      <c r="C490" s="194"/>
      <c r="D490" s="63">
        <v>0.25</v>
      </c>
      <c r="E490" s="63">
        <v>0.25</v>
      </c>
      <c r="F490" s="297">
        <v>0</v>
      </c>
      <c r="G490" s="297">
        <v>0</v>
      </c>
      <c r="H490" s="297">
        <v>0</v>
      </c>
      <c r="I490" s="297">
        <v>0</v>
      </c>
      <c r="J490" s="298">
        <v>0</v>
      </c>
      <c r="K490" s="233"/>
      <c r="L490" s="233">
        <v>400</v>
      </c>
      <c r="M490" s="68">
        <f>SUM(L490*D490)/1000</f>
        <v>0.1</v>
      </c>
    </row>
    <row r="491" spans="1:13" x14ac:dyDescent="0.25">
      <c r="A491" s="782"/>
      <c r="B491" s="107" t="s">
        <v>111</v>
      </c>
      <c r="C491" s="194"/>
      <c r="D491" s="63">
        <v>7.3</v>
      </c>
      <c r="E491" s="63">
        <v>7.3</v>
      </c>
      <c r="F491" s="297">
        <v>0.20399999999999999</v>
      </c>
      <c r="G491" s="297">
        <v>0.23300000000000001</v>
      </c>
      <c r="H491" s="297">
        <v>0.34300000000000003</v>
      </c>
      <c r="I491" s="297">
        <v>4.2300000000000004</v>
      </c>
      <c r="J491" s="298">
        <v>9.4E-2</v>
      </c>
      <c r="K491" s="233"/>
      <c r="L491" s="233">
        <v>43.22</v>
      </c>
      <c r="M491" s="68">
        <f>SUM(L491*D491)/1000</f>
        <v>0.31550599999999995</v>
      </c>
    </row>
    <row r="492" spans="1:13" x14ac:dyDescent="0.25">
      <c r="A492" s="782"/>
      <c r="B492" s="529" t="s">
        <v>96</v>
      </c>
      <c r="C492" s="122"/>
      <c r="D492" s="13"/>
      <c r="E492" s="13">
        <v>43</v>
      </c>
      <c r="F492" s="297"/>
      <c r="G492" s="297"/>
      <c r="H492" s="297"/>
      <c r="I492" s="297"/>
      <c r="J492" s="298"/>
      <c r="K492" s="233"/>
      <c r="L492" s="233"/>
      <c r="M492" s="68"/>
    </row>
    <row r="493" spans="1:13" x14ac:dyDescent="0.25">
      <c r="A493" s="782"/>
      <c r="B493" s="107" t="s">
        <v>97</v>
      </c>
      <c r="C493" s="194"/>
      <c r="D493" s="63">
        <v>1.3</v>
      </c>
      <c r="E493" s="63">
        <v>1.3</v>
      </c>
      <c r="F493" s="297">
        <v>0.13300000000000001</v>
      </c>
      <c r="G493" s="297">
        <v>0.01</v>
      </c>
      <c r="H493" s="297">
        <v>0.75900000000000001</v>
      </c>
      <c r="I493" s="297">
        <v>4.3419999999999996</v>
      </c>
      <c r="J493" s="298">
        <v>0</v>
      </c>
      <c r="K493" s="233"/>
      <c r="L493" s="233">
        <v>27.17</v>
      </c>
      <c r="M493" s="68">
        <f>SUM(L493*D493)/1000</f>
        <v>3.5321000000000005E-2</v>
      </c>
    </row>
    <row r="494" spans="1:13" x14ac:dyDescent="0.25">
      <c r="A494" s="782"/>
      <c r="B494" s="107" t="s">
        <v>146</v>
      </c>
      <c r="C494" s="194"/>
      <c r="D494" s="63">
        <v>25</v>
      </c>
      <c r="E494" s="63">
        <v>25</v>
      </c>
      <c r="F494" s="297">
        <v>0.1</v>
      </c>
      <c r="G494" s="297">
        <v>0</v>
      </c>
      <c r="H494" s="297">
        <v>16.25</v>
      </c>
      <c r="I494" s="297">
        <v>62.5</v>
      </c>
      <c r="J494" s="298">
        <v>0.125</v>
      </c>
      <c r="K494" s="233"/>
      <c r="L494" s="233">
        <v>110</v>
      </c>
      <c r="M494" s="68">
        <f>SUM(L494*D494)/1000</f>
        <v>2.75</v>
      </c>
    </row>
    <row r="495" spans="1:13" x14ac:dyDescent="0.25">
      <c r="A495" s="782"/>
      <c r="B495" s="186" t="s">
        <v>147</v>
      </c>
      <c r="C495" s="194"/>
      <c r="D495" s="63">
        <v>0.2</v>
      </c>
      <c r="E495" s="63">
        <v>0.2</v>
      </c>
      <c r="F495" s="297">
        <v>0</v>
      </c>
      <c r="G495" s="297">
        <v>0.29899999999999999</v>
      </c>
      <c r="H495" s="297">
        <v>0</v>
      </c>
      <c r="I495" s="297">
        <v>2.69</v>
      </c>
      <c r="J495" s="298">
        <v>0</v>
      </c>
      <c r="K495" s="233"/>
      <c r="L495" s="233">
        <v>92.2</v>
      </c>
      <c r="M495" s="78">
        <f>SUM(L495*D495)/1000</f>
        <v>1.8440000000000002E-2</v>
      </c>
    </row>
    <row r="496" spans="1:13" x14ac:dyDescent="0.25">
      <c r="A496" s="782"/>
      <c r="B496" s="186" t="s">
        <v>98</v>
      </c>
      <c r="C496" s="194"/>
      <c r="D496" s="63">
        <v>1.2</v>
      </c>
      <c r="E496" s="63" t="s">
        <v>199</v>
      </c>
      <c r="F496" s="297">
        <v>0.2</v>
      </c>
      <c r="G496" s="297">
        <v>0.184</v>
      </c>
      <c r="H496" s="297">
        <v>1.0999999999999999E-2</v>
      </c>
      <c r="I496" s="297">
        <v>2.512</v>
      </c>
      <c r="J496" s="298">
        <v>0</v>
      </c>
      <c r="K496" s="233"/>
      <c r="L496" s="233">
        <v>4.6989999999999998</v>
      </c>
      <c r="M496" s="78">
        <f>SUM(L496*D496)/40</f>
        <v>0.14096999999999998</v>
      </c>
    </row>
    <row r="497" spans="1:13" x14ac:dyDescent="0.25">
      <c r="A497" s="782"/>
      <c r="B497" s="186"/>
      <c r="C497" s="186"/>
      <c r="D497" s="63"/>
      <c r="E497" s="63"/>
      <c r="F497" s="130">
        <f>SUM(F486:F496)</f>
        <v>3.87</v>
      </c>
      <c r="G497" s="130">
        <f>SUM(G486:G496)</f>
        <v>3.7109999999999994</v>
      </c>
      <c r="H497" s="130">
        <f>SUM(H486:H496)</f>
        <v>27.66</v>
      </c>
      <c r="I497" s="130">
        <f>SUM(I486:I496)</f>
        <v>201.684</v>
      </c>
      <c r="J497" s="130">
        <f>SUM(J486:J496)</f>
        <v>0.219</v>
      </c>
      <c r="K497" s="158"/>
      <c r="L497" s="65"/>
      <c r="M497" s="72">
        <f>SUM(M486:M496)</f>
        <v>5.6921770000000009</v>
      </c>
    </row>
    <row r="498" spans="1:13" x14ac:dyDescent="0.25">
      <c r="A498" s="782"/>
      <c r="B498" s="410" t="s">
        <v>355</v>
      </c>
      <c r="C498" s="390">
        <v>200</v>
      </c>
      <c r="D498" s="391"/>
      <c r="E498" s="340"/>
      <c r="F498" s="412">
        <v>0</v>
      </c>
      <c r="G498" s="412">
        <v>0</v>
      </c>
      <c r="H498" s="412">
        <v>19.98</v>
      </c>
      <c r="I498" s="413">
        <v>104</v>
      </c>
      <c r="J498" s="414">
        <v>0.24</v>
      </c>
      <c r="K498" s="485" t="s">
        <v>356</v>
      </c>
      <c r="L498" s="65"/>
      <c r="M498" s="280"/>
    </row>
    <row r="499" spans="1:13" x14ac:dyDescent="0.25">
      <c r="A499" s="782"/>
      <c r="B499" s="342" t="s">
        <v>357</v>
      </c>
      <c r="C499" s="343"/>
      <c r="D499" s="340">
        <v>60</v>
      </c>
      <c r="E499" s="340">
        <v>60</v>
      </c>
      <c r="F499" s="340">
        <v>0</v>
      </c>
      <c r="G499" s="340">
        <v>0</v>
      </c>
      <c r="H499" s="340">
        <v>0</v>
      </c>
      <c r="I499" s="345">
        <v>28.2</v>
      </c>
      <c r="J499" s="346">
        <v>0.04</v>
      </c>
      <c r="K499" s="480"/>
      <c r="L499" s="114">
        <v>100</v>
      </c>
      <c r="M499" s="68">
        <f>SUM(L499*D499)/1000</f>
        <v>6</v>
      </c>
    </row>
    <row r="500" spans="1:13" x14ac:dyDescent="0.25">
      <c r="A500" s="782"/>
      <c r="B500" s="342" t="s">
        <v>230</v>
      </c>
      <c r="C500" s="343"/>
      <c r="D500" s="340">
        <v>24</v>
      </c>
      <c r="E500" s="340">
        <v>24</v>
      </c>
      <c r="F500" s="340">
        <v>0</v>
      </c>
      <c r="G500" s="340">
        <v>0</v>
      </c>
      <c r="H500" s="340">
        <v>19.98</v>
      </c>
      <c r="I500" s="345">
        <v>75.8</v>
      </c>
      <c r="J500" s="346">
        <v>0</v>
      </c>
      <c r="K500" s="480"/>
      <c r="L500" s="114">
        <v>50.7</v>
      </c>
      <c r="M500" s="68">
        <f>SUM(L500*D500)/1000</f>
        <v>1.2168000000000001</v>
      </c>
    </row>
    <row r="501" spans="1:13" x14ac:dyDescent="0.25">
      <c r="A501" s="782"/>
      <c r="B501" s="342" t="s">
        <v>311</v>
      </c>
      <c r="C501" s="343"/>
      <c r="D501" s="340">
        <v>10</v>
      </c>
      <c r="E501" s="340">
        <v>10</v>
      </c>
      <c r="F501" s="340">
        <v>0</v>
      </c>
      <c r="G501" s="340">
        <v>0</v>
      </c>
      <c r="H501" s="340">
        <v>0</v>
      </c>
      <c r="I501" s="345">
        <v>0</v>
      </c>
      <c r="J501" s="346">
        <v>0</v>
      </c>
      <c r="K501" s="480"/>
      <c r="L501" s="114">
        <v>0</v>
      </c>
      <c r="M501" s="68">
        <f>SUM(L501*D501)/1000</f>
        <v>0</v>
      </c>
    </row>
    <row r="502" spans="1:13" x14ac:dyDescent="0.25">
      <c r="A502" s="782"/>
      <c r="B502" s="342" t="s">
        <v>229</v>
      </c>
      <c r="C502" s="343"/>
      <c r="D502" s="340">
        <v>140</v>
      </c>
      <c r="E502" s="340">
        <v>140</v>
      </c>
      <c r="F502" s="340">
        <v>0</v>
      </c>
      <c r="G502" s="340">
        <v>0</v>
      </c>
      <c r="H502" s="340">
        <v>0</v>
      </c>
      <c r="I502" s="345">
        <v>0</v>
      </c>
      <c r="J502" s="346">
        <v>0</v>
      </c>
      <c r="K502" s="480"/>
      <c r="L502" s="114"/>
      <c r="M502" s="72">
        <f>SUM(M499:M501)</f>
        <v>7.2168000000000001</v>
      </c>
    </row>
    <row r="503" spans="1:13" x14ac:dyDescent="0.25">
      <c r="A503" s="783"/>
      <c r="B503" s="124" t="s">
        <v>46</v>
      </c>
      <c r="C503" s="124"/>
      <c r="D503" s="13"/>
      <c r="E503" s="13"/>
      <c r="F503" s="142">
        <f>SUM(F496,F502)</f>
        <v>0.2</v>
      </c>
      <c r="G503" s="142">
        <f>SUM(G496,G502)</f>
        <v>0.184</v>
      </c>
      <c r="H503" s="142">
        <f>SUM(H496,H502)</f>
        <v>1.0999999999999999E-2</v>
      </c>
      <c r="I503" s="142">
        <f>SUM(I496,I502)</f>
        <v>2.512</v>
      </c>
      <c r="J503" s="142">
        <f>SUM(J496,J502)</f>
        <v>0</v>
      </c>
      <c r="K503" s="158"/>
      <c r="L503" s="65"/>
      <c r="M503" s="71">
        <f>SUM(M496,M502)</f>
        <v>7.3577700000000004</v>
      </c>
    </row>
    <row r="504" spans="1:13" hidden="1" x14ac:dyDescent="0.25">
      <c r="A504" s="5"/>
      <c r="B504" s="13"/>
      <c r="C504" s="4"/>
      <c r="D504" s="105"/>
      <c r="E504" s="106"/>
      <c r="F504" s="63"/>
      <c r="G504" s="63"/>
      <c r="H504" s="63"/>
      <c r="I504" s="63"/>
      <c r="J504" s="96"/>
      <c r="K504" s="125"/>
      <c r="L504" s="65"/>
      <c r="M504" s="64"/>
    </row>
    <row r="505" spans="1:13" ht="15" hidden="1" customHeight="1" x14ac:dyDescent="0.25">
      <c r="A505" s="781"/>
      <c r="B505" s="109"/>
      <c r="C505" s="124"/>
      <c r="D505" s="13"/>
      <c r="E505" s="13"/>
      <c r="F505" s="13"/>
      <c r="G505" s="13"/>
      <c r="H505" s="13"/>
      <c r="I505" s="13"/>
      <c r="J505" s="96"/>
      <c r="K505" s="125"/>
      <c r="L505" s="65"/>
      <c r="M505" s="64"/>
    </row>
    <row r="506" spans="1:13" ht="15" hidden="1" customHeight="1" x14ac:dyDescent="0.25">
      <c r="A506" s="782"/>
      <c r="B506" s="107"/>
      <c r="C506" s="107"/>
      <c r="D506" s="63"/>
      <c r="E506" s="63"/>
      <c r="F506" s="63"/>
      <c r="G506" s="63"/>
      <c r="H506" s="63"/>
      <c r="I506" s="63"/>
      <c r="J506" s="96"/>
      <c r="K506" s="126"/>
      <c r="L506" s="114"/>
      <c r="M506" s="68"/>
    </row>
    <row r="507" spans="1:13" ht="15" hidden="1" customHeight="1" x14ac:dyDescent="0.25">
      <c r="A507" s="782"/>
      <c r="B507" s="107"/>
      <c r="C507" s="107"/>
      <c r="D507" s="63"/>
      <c r="E507" s="63"/>
      <c r="F507" s="63"/>
      <c r="G507" s="63"/>
      <c r="H507" s="63"/>
      <c r="I507" s="63"/>
      <c r="J507" s="96"/>
      <c r="K507" s="126"/>
      <c r="L507" s="114"/>
      <c r="M507" s="68"/>
    </row>
    <row r="508" spans="1:13" ht="15" hidden="1" customHeight="1" x14ac:dyDescent="0.25">
      <c r="A508" s="782"/>
      <c r="B508" s="107"/>
      <c r="C508" s="107"/>
      <c r="D508" s="63"/>
      <c r="E508" s="63"/>
      <c r="F508" s="118"/>
      <c r="G508" s="118"/>
      <c r="H508" s="118"/>
      <c r="I508" s="118"/>
      <c r="J508" s="118"/>
      <c r="K508" s="156"/>
      <c r="L508" s="65"/>
      <c r="M508" s="72"/>
    </row>
    <row r="509" spans="1:13" ht="15" hidden="1" customHeight="1" x14ac:dyDescent="0.25">
      <c r="A509" s="782"/>
      <c r="B509" s="109"/>
      <c r="C509" s="105"/>
      <c r="D509" s="13"/>
      <c r="E509" s="13"/>
      <c r="F509" s="13"/>
      <c r="G509" s="13"/>
      <c r="H509" s="13"/>
      <c r="I509" s="13"/>
      <c r="J509" s="96"/>
      <c r="K509" s="125"/>
      <c r="L509" s="65"/>
      <c r="M509" s="64"/>
    </row>
    <row r="510" spans="1:13" ht="15" hidden="1" customHeight="1" x14ac:dyDescent="0.25">
      <c r="A510" s="782"/>
      <c r="B510" s="109"/>
      <c r="C510" s="124"/>
      <c r="D510" s="13"/>
      <c r="E510" s="13"/>
      <c r="F510" s="13"/>
      <c r="G510" s="13"/>
      <c r="H510" s="13"/>
      <c r="I510" s="13"/>
      <c r="J510" s="96"/>
      <c r="K510" s="125"/>
      <c r="L510" s="65"/>
      <c r="M510" s="64"/>
    </row>
    <row r="511" spans="1:13" ht="15" hidden="1" customHeight="1" x14ac:dyDescent="0.25">
      <c r="A511" s="782"/>
      <c r="B511" s="107"/>
      <c r="C511" s="124"/>
      <c r="D511" s="63"/>
      <c r="E511" s="63"/>
      <c r="F511" s="63"/>
      <c r="G511" s="63"/>
      <c r="H511" s="63"/>
      <c r="I511" s="63"/>
      <c r="J511" s="96"/>
      <c r="K511" s="125"/>
      <c r="L511" s="65"/>
      <c r="M511" s="64"/>
    </row>
    <row r="512" spans="1:13" ht="15" hidden="1" customHeight="1" x14ac:dyDescent="0.25">
      <c r="A512" s="782"/>
      <c r="B512" s="107"/>
      <c r="C512" s="107"/>
      <c r="D512" s="63"/>
      <c r="E512" s="63"/>
      <c r="F512" s="63"/>
      <c r="G512" s="63"/>
      <c r="H512" s="63"/>
      <c r="I512" s="63"/>
      <c r="J512" s="96"/>
      <c r="K512" s="126"/>
      <c r="L512" s="114"/>
      <c r="M512" s="68"/>
    </row>
    <row r="513" spans="1:13" ht="15" hidden="1" customHeight="1" x14ac:dyDescent="0.25">
      <c r="A513" s="782"/>
      <c r="B513" s="107"/>
      <c r="C513" s="107"/>
      <c r="D513" s="63"/>
      <c r="E513" s="63"/>
      <c r="F513" s="63"/>
      <c r="G513" s="63"/>
      <c r="H513" s="63"/>
      <c r="I513" s="63"/>
      <c r="J513" s="96"/>
      <c r="K513" s="126"/>
      <c r="L513" s="114"/>
      <c r="M513" s="68"/>
    </row>
    <row r="514" spans="1:13" ht="15" hidden="1" customHeight="1" x14ac:dyDescent="0.25">
      <c r="A514" s="782"/>
      <c r="B514" s="107"/>
      <c r="C514" s="107"/>
      <c r="D514" s="63"/>
      <c r="E514" s="63"/>
      <c r="F514" s="63"/>
      <c r="G514" s="63"/>
      <c r="H514" s="63"/>
      <c r="I514" s="63"/>
      <c r="J514" s="96"/>
      <c r="K514" s="126"/>
      <c r="L514" s="114"/>
      <c r="M514" s="68"/>
    </row>
    <row r="515" spans="1:13" ht="15" hidden="1" customHeight="1" x14ac:dyDescent="0.25">
      <c r="A515" s="782"/>
      <c r="B515" s="107"/>
      <c r="C515" s="107"/>
      <c r="D515" s="63"/>
      <c r="E515" s="63"/>
      <c r="F515" s="274"/>
      <c r="G515" s="274"/>
      <c r="H515" s="274"/>
      <c r="I515" s="274"/>
      <c r="J515" s="279"/>
      <c r="K515" s="156"/>
      <c r="L515" s="65"/>
      <c r="M515" s="72"/>
    </row>
    <row r="516" spans="1:13" ht="15" hidden="1" customHeight="1" x14ac:dyDescent="0.25">
      <c r="A516" s="783"/>
      <c r="B516" s="124"/>
      <c r="C516" s="124"/>
      <c r="D516" s="13"/>
      <c r="E516" s="13"/>
      <c r="F516" s="142"/>
      <c r="G516" s="142"/>
      <c r="H516" s="142"/>
      <c r="I516" s="142"/>
      <c r="J516" s="143"/>
      <c r="K516" s="158"/>
      <c r="L516" s="65"/>
      <c r="M516" s="71"/>
    </row>
    <row r="517" spans="1:13" ht="15.75" thickBot="1" x14ac:dyDescent="0.3">
      <c r="A517" s="574" t="s">
        <v>131</v>
      </c>
      <c r="B517" s="575"/>
      <c r="C517" s="575"/>
      <c r="D517" s="576"/>
      <c r="E517" s="576"/>
      <c r="F517" s="577">
        <f>SUM(F443,F483,F503,F516)</f>
        <v>9.1660000000000004</v>
      </c>
      <c r="G517" s="577">
        <f>SUM(G443,G483,G503,G516)</f>
        <v>7.5418000000000012</v>
      </c>
      <c r="H517" s="577">
        <f>SUM(H443,H483,H503,H516)</f>
        <v>83.206999999999994</v>
      </c>
      <c r="I517" s="577">
        <f>SUM(I443,I483,I503,I516)</f>
        <v>442.08599999999996</v>
      </c>
      <c r="J517" s="577">
        <f>SUM(J443,J483,J503,J516)</f>
        <v>10.72</v>
      </c>
      <c r="K517" s="578"/>
      <c r="L517" s="579"/>
      <c r="M517" s="580">
        <f>SUM(M444,M483,M503,M516)</f>
        <v>12.69777</v>
      </c>
    </row>
    <row r="518" spans="1:13" x14ac:dyDescent="0.25">
      <c r="A518" s="225" t="s">
        <v>132</v>
      </c>
      <c r="B518" s="225"/>
      <c r="C518" s="225"/>
      <c r="D518" s="205"/>
      <c r="E518" s="205"/>
      <c r="F518" s="172"/>
      <c r="G518" s="172"/>
      <c r="H518" s="172"/>
      <c r="I518" s="172"/>
      <c r="J518" s="248"/>
      <c r="K518" s="491"/>
      <c r="L518" s="79"/>
      <c r="M518" s="531"/>
    </row>
    <row r="519" spans="1:13" x14ac:dyDescent="0.25">
      <c r="A519" s="5" t="s">
        <v>119</v>
      </c>
      <c r="B519" s="13"/>
      <c r="C519" s="4"/>
      <c r="D519" s="105"/>
      <c r="E519" s="106"/>
      <c r="F519" s="52"/>
      <c r="G519" s="52"/>
      <c r="H519" s="52"/>
      <c r="I519" s="52"/>
      <c r="J519" s="224"/>
      <c r="K519" s="153"/>
      <c r="L519" s="65"/>
      <c r="M519" s="64"/>
    </row>
    <row r="520" spans="1:13" x14ac:dyDescent="0.25">
      <c r="A520" s="781"/>
      <c r="B520" s="442" t="s">
        <v>81</v>
      </c>
      <c r="C520" s="124">
        <v>87</v>
      </c>
      <c r="D520" s="63"/>
      <c r="E520" s="13"/>
      <c r="F520" s="13"/>
      <c r="G520" s="13"/>
      <c r="H520" s="13"/>
      <c r="I520" s="13"/>
      <c r="J520" s="231"/>
      <c r="K520" s="125" t="s">
        <v>216</v>
      </c>
      <c r="L520" s="65"/>
      <c r="M520" s="64"/>
    </row>
    <row r="521" spans="1:13" x14ac:dyDescent="0.25">
      <c r="A521" s="782"/>
      <c r="B521" s="428" t="s">
        <v>163</v>
      </c>
      <c r="C521" s="96"/>
      <c r="D521" s="63">
        <v>60</v>
      </c>
      <c r="E521" s="63" t="s">
        <v>273</v>
      </c>
      <c r="F521" s="63">
        <v>5.5880000000000001</v>
      </c>
      <c r="G521" s="63">
        <v>5.0599999999999996</v>
      </c>
      <c r="H521" s="63">
        <v>0.308</v>
      </c>
      <c r="I521" s="63">
        <v>69.08</v>
      </c>
      <c r="J521" s="231">
        <v>0</v>
      </c>
      <c r="K521" s="126"/>
      <c r="L521" s="114">
        <v>4.6989999999999998</v>
      </c>
      <c r="M521" s="68">
        <f>SUM(L521*D521)/40</f>
        <v>7.0484999999999998</v>
      </c>
    </row>
    <row r="522" spans="1:13" x14ac:dyDescent="0.25">
      <c r="A522" s="782"/>
      <c r="B522" s="428" t="s">
        <v>141</v>
      </c>
      <c r="C522" s="96"/>
      <c r="D522" s="63">
        <v>22.5</v>
      </c>
      <c r="E522" s="63">
        <v>22.5</v>
      </c>
      <c r="F522" s="63">
        <v>0.47599999999999998</v>
      </c>
      <c r="G522" s="63">
        <v>0.54400000000000004</v>
      </c>
      <c r="H522" s="63">
        <v>0.79900000000000004</v>
      </c>
      <c r="I522" s="63">
        <v>9.86</v>
      </c>
      <c r="J522" s="231">
        <v>0.221</v>
      </c>
      <c r="K522" s="126"/>
      <c r="L522" s="114">
        <v>43.22</v>
      </c>
      <c r="M522" s="68">
        <f>SUM(L522*D522)/1000</f>
        <v>0.97244999999999993</v>
      </c>
    </row>
    <row r="523" spans="1:13" x14ac:dyDescent="0.25">
      <c r="A523" s="782"/>
      <c r="B523" s="434" t="s">
        <v>218</v>
      </c>
      <c r="C523" s="201"/>
      <c r="D523" s="331"/>
      <c r="E523" s="331">
        <v>82.5</v>
      </c>
      <c r="F523" s="63"/>
      <c r="G523" s="63"/>
      <c r="H523" s="63"/>
      <c r="I523" s="63"/>
      <c r="J523" s="231"/>
      <c r="K523" s="126"/>
      <c r="L523" s="114">
        <v>0</v>
      </c>
      <c r="M523" s="68">
        <f>SUM(L523*D523)/1000</f>
        <v>0</v>
      </c>
    </row>
    <row r="524" spans="1:13" x14ac:dyDescent="0.25">
      <c r="A524" s="782"/>
      <c r="B524" s="428" t="s">
        <v>21</v>
      </c>
      <c r="C524" s="96"/>
      <c r="D524" s="195">
        <v>3</v>
      </c>
      <c r="E524" s="63">
        <v>3</v>
      </c>
      <c r="F524" s="63">
        <v>3.2000000000000001E-2</v>
      </c>
      <c r="G524" s="63">
        <v>2.9</v>
      </c>
      <c r="H524" s="63">
        <v>5.1999999999999998E-2</v>
      </c>
      <c r="I524" s="63">
        <v>26.44</v>
      </c>
      <c r="J524" s="231">
        <v>0</v>
      </c>
      <c r="K524" s="152"/>
      <c r="L524" s="114">
        <v>367.98</v>
      </c>
      <c r="M524" s="68">
        <f>SUM(L524*D524)/1000</f>
        <v>1.1039400000000001</v>
      </c>
    </row>
    <row r="525" spans="1:13" x14ac:dyDescent="0.25">
      <c r="A525" s="782"/>
      <c r="B525" s="434" t="s">
        <v>82</v>
      </c>
      <c r="C525" s="201"/>
      <c r="D525" s="331"/>
      <c r="E525" s="331">
        <v>79.5</v>
      </c>
      <c r="F525" s="63"/>
      <c r="G525" s="63"/>
      <c r="H525" s="63"/>
      <c r="I525" s="63"/>
      <c r="J525" s="231"/>
      <c r="K525" s="152"/>
      <c r="L525" s="114">
        <v>0</v>
      </c>
      <c r="M525" s="68">
        <f>SUM(L525*D525)/1000</f>
        <v>0</v>
      </c>
    </row>
    <row r="526" spans="1:13" x14ac:dyDescent="0.25">
      <c r="A526" s="782"/>
      <c r="B526" s="428" t="s">
        <v>21</v>
      </c>
      <c r="C526" s="96"/>
      <c r="D526" s="63">
        <v>7.5</v>
      </c>
      <c r="E526" s="63">
        <v>7.5</v>
      </c>
      <c r="F526" s="63">
        <v>0.04</v>
      </c>
      <c r="G526" s="63">
        <v>3.625</v>
      </c>
      <c r="H526" s="63">
        <v>6.5000000000000002E-2</v>
      </c>
      <c r="I526" s="63">
        <v>3.05</v>
      </c>
      <c r="J526" s="231">
        <v>0</v>
      </c>
      <c r="K526" s="152"/>
      <c r="L526" s="114">
        <v>367.98</v>
      </c>
      <c r="M526" s="68">
        <f>SUM(L526*D526)/1000</f>
        <v>2.7598500000000006</v>
      </c>
    </row>
    <row r="527" spans="1:13" x14ac:dyDescent="0.25">
      <c r="A527" s="782"/>
      <c r="B527" s="428"/>
      <c r="C527" s="96"/>
      <c r="D527" s="63"/>
      <c r="E527" s="63"/>
      <c r="F527" s="118">
        <f>SUM(F521:F526)</f>
        <v>6.1360000000000001</v>
      </c>
      <c r="G527" s="118">
        <f>SUM(G521:G526)</f>
        <v>12.129</v>
      </c>
      <c r="H527" s="118">
        <f>SUM(H521:H526)</f>
        <v>1.224</v>
      </c>
      <c r="I527" s="118">
        <f>SUM(I521:I526)</f>
        <v>108.42999999999999</v>
      </c>
      <c r="J527" s="119">
        <f>SUM(J521:J526)</f>
        <v>0.221</v>
      </c>
      <c r="K527" s="153"/>
      <c r="L527" s="65"/>
      <c r="M527" s="72">
        <f>SUM(M521:M526)</f>
        <v>11.884739999999999</v>
      </c>
    </row>
    <row r="528" spans="1:13" x14ac:dyDescent="0.25">
      <c r="A528" s="782"/>
      <c r="B528" s="124" t="s">
        <v>151</v>
      </c>
      <c r="C528" s="124">
        <v>30</v>
      </c>
      <c r="D528" s="63">
        <v>30</v>
      </c>
      <c r="E528" s="63">
        <v>30</v>
      </c>
      <c r="F528" s="63">
        <v>0.31</v>
      </c>
      <c r="G528" s="63">
        <v>0.02</v>
      </c>
      <c r="H528" s="63">
        <v>0.65</v>
      </c>
      <c r="I528" s="63">
        <v>4</v>
      </c>
      <c r="J528" s="96">
        <v>1</v>
      </c>
      <c r="K528" s="156" t="s">
        <v>73</v>
      </c>
      <c r="L528" s="65"/>
      <c r="M528" s="72"/>
    </row>
    <row r="529" spans="1:13" x14ac:dyDescent="0.25">
      <c r="A529" s="782"/>
      <c r="B529" s="533" t="s">
        <v>40</v>
      </c>
      <c r="C529" s="124">
        <v>20</v>
      </c>
      <c r="D529" s="63">
        <v>20</v>
      </c>
      <c r="E529" s="63">
        <v>20</v>
      </c>
      <c r="F529" s="118">
        <v>2.31</v>
      </c>
      <c r="G529" s="118">
        <v>0.9</v>
      </c>
      <c r="H529" s="118">
        <v>14.94</v>
      </c>
      <c r="I529" s="118">
        <v>78.599999999999994</v>
      </c>
      <c r="J529" s="119">
        <v>0</v>
      </c>
      <c r="K529" s="156" t="s">
        <v>73</v>
      </c>
      <c r="L529" s="65">
        <v>35</v>
      </c>
      <c r="M529" s="72">
        <f>SUM(D529*L529)/1000</f>
        <v>0.7</v>
      </c>
    </row>
    <row r="530" spans="1:13" x14ac:dyDescent="0.25">
      <c r="A530" s="782"/>
      <c r="B530" s="533" t="s">
        <v>72</v>
      </c>
      <c r="C530" s="105" t="s">
        <v>187</v>
      </c>
      <c r="D530" s="13"/>
      <c r="E530" s="13"/>
      <c r="F530" s="13"/>
      <c r="G530" s="13"/>
      <c r="H530" s="13"/>
      <c r="I530" s="13"/>
      <c r="J530" s="96"/>
      <c r="K530" s="125" t="s">
        <v>188</v>
      </c>
      <c r="L530" s="65"/>
      <c r="M530" s="68"/>
    </row>
    <row r="531" spans="1:13" x14ac:dyDescent="0.25">
      <c r="A531" s="782"/>
      <c r="B531" s="533" t="s">
        <v>184</v>
      </c>
      <c r="C531" s="124"/>
      <c r="D531" s="13">
        <v>30</v>
      </c>
      <c r="E531" s="13">
        <v>30</v>
      </c>
      <c r="F531" s="13"/>
      <c r="G531" s="13"/>
      <c r="H531" s="13"/>
      <c r="I531" s="13"/>
      <c r="J531" s="96"/>
      <c r="K531" s="125"/>
      <c r="L531" s="65"/>
      <c r="M531" s="68"/>
    </row>
    <row r="532" spans="1:13" x14ac:dyDescent="0.25">
      <c r="A532" s="782"/>
      <c r="B532" s="107" t="s">
        <v>120</v>
      </c>
      <c r="C532" s="124"/>
      <c r="D532" s="63">
        <v>32.4</v>
      </c>
      <c r="E532" s="63">
        <v>32.4</v>
      </c>
      <c r="F532" s="63">
        <v>0</v>
      </c>
      <c r="G532" s="63">
        <v>0</v>
      </c>
      <c r="H532" s="63">
        <v>0</v>
      </c>
      <c r="I532" s="63">
        <v>0</v>
      </c>
      <c r="J532" s="96">
        <v>0</v>
      </c>
      <c r="K532" s="125"/>
      <c r="L532" s="65"/>
      <c r="M532" s="68"/>
    </row>
    <row r="533" spans="1:13" x14ac:dyDescent="0.25">
      <c r="A533" s="782"/>
      <c r="B533" s="107" t="s">
        <v>185</v>
      </c>
      <c r="C533" s="107"/>
      <c r="D533" s="63">
        <v>0.3</v>
      </c>
      <c r="E533" s="63">
        <v>0.3</v>
      </c>
      <c r="F533" s="63">
        <v>0.06</v>
      </c>
      <c r="G533" s="63">
        <v>0</v>
      </c>
      <c r="H533" s="63">
        <v>2.07E-2</v>
      </c>
      <c r="I533" s="63">
        <v>0.45540000000000003</v>
      </c>
      <c r="J533" s="96">
        <v>0.03</v>
      </c>
      <c r="K533" s="126"/>
      <c r="L533" s="114">
        <v>400</v>
      </c>
      <c r="M533" s="68">
        <f>SUM(L533*D533)/1000</f>
        <v>0.12</v>
      </c>
    </row>
    <row r="534" spans="1:13" x14ac:dyDescent="0.25">
      <c r="A534" s="782"/>
      <c r="B534" s="107" t="s">
        <v>49</v>
      </c>
      <c r="C534" s="107"/>
      <c r="D534" s="63">
        <v>10</v>
      </c>
      <c r="E534" s="63">
        <v>10</v>
      </c>
      <c r="F534" s="63">
        <v>0</v>
      </c>
      <c r="G534" s="63">
        <v>0</v>
      </c>
      <c r="H534" s="63">
        <v>9.98</v>
      </c>
      <c r="I534" s="63">
        <v>37.9</v>
      </c>
      <c r="J534" s="96">
        <v>0</v>
      </c>
      <c r="K534" s="126"/>
      <c r="L534" s="114">
        <v>50.7</v>
      </c>
      <c r="M534" s="68">
        <f>SUM(L534*D534)/1000</f>
        <v>0.50700000000000001</v>
      </c>
    </row>
    <row r="535" spans="1:13" x14ac:dyDescent="0.25">
      <c r="A535" s="782"/>
      <c r="B535" s="107" t="s">
        <v>19</v>
      </c>
      <c r="C535" s="107"/>
      <c r="D535" s="63">
        <v>150</v>
      </c>
      <c r="E535" s="63">
        <v>150</v>
      </c>
      <c r="F535" s="63">
        <v>0</v>
      </c>
      <c r="G535" s="63">
        <v>0</v>
      </c>
      <c r="H535" s="63">
        <v>0</v>
      </c>
      <c r="I535" s="63">
        <v>0</v>
      </c>
      <c r="J535" s="96">
        <v>0</v>
      </c>
      <c r="K535" s="126"/>
      <c r="L535" s="114">
        <v>0</v>
      </c>
      <c r="M535" s="68">
        <f>SUM(L535*D535)/1000</f>
        <v>0</v>
      </c>
    </row>
    <row r="536" spans="1:13" x14ac:dyDescent="0.25">
      <c r="A536" s="782"/>
      <c r="B536" s="157"/>
      <c r="C536" s="157"/>
      <c r="D536" s="51"/>
      <c r="E536" s="51"/>
      <c r="F536" s="274">
        <f>SUM(F533:F535)</f>
        <v>0.06</v>
      </c>
      <c r="G536" s="274">
        <f>SUM(G533:G535)</f>
        <v>0</v>
      </c>
      <c r="H536" s="274">
        <f>SUM(H533:H535)</f>
        <v>10.0007</v>
      </c>
      <c r="I536" s="274">
        <f>SUM(I533:I535)</f>
        <v>38.355399999999996</v>
      </c>
      <c r="J536" s="279">
        <f>SUM(J533:J535)</f>
        <v>0.03</v>
      </c>
      <c r="K536" s="156"/>
      <c r="L536" s="65"/>
      <c r="M536" s="72">
        <f>SUM(M533:M535)</f>
        <v>0.627</v>
      </c>
    </row>
    <row r="537" spans="1:13" x14ac:dyDescent="0.25">
      <c r="A537" s="782"/>
      <c r="B537" s="124" t="s">
        <v>57</v>
      </c>
      <c r="C537" s="124"/>
      <c r="D537" s="63"/>
      <c r="E537" s="63"/>
      <c r="F537" s="282">
        <f>SUM(F529,F527,F536)</f>
        <v>8.5060000000000002</v>
      </c>
      <c r="G537" s="282">
        <f t="shared" ref="G537:J537" si="33">SUM(G529,G527,G536)</f>
        <v>13.029</v>
      </c>
      <c r="H537" s="282">
        <f t="shared" si="33"/>
        <v>26.164699999999996</v>
      </c>
      <c r="I537" s="282">
        <f t="shared" si="33"/>
        <v>225.38539999999998</v>
      </c>
      <c r="J537" s="282">
        <f t="shared" si="33"/>
        <v>0.251</v>
      </c>
      <c r="K537" s="158"/>
      <c r="L537" s="65"/>
      <c r="M537" s="142" t="e">
        <f>SUM(M529:M529,#REF!)</f>
        <v>#REF!</v>
      </c>
    </row>
    <row r="538" spans="1:13" x14ac:dyDescent="0.25">
      <c r="A538" s="532" t="s">
        <v>367</v>
      </c>
      <c r="B538" s="124" t="s">
        <v>206</v>
      </c>
      <c r="C538" s="124">
        <v>100</v>
      </c>
      <c r="D538" s="63">
        <v>100</v>
      </c>
      <c r="E538" s="63">
        <v>100</v>
      </c>
      <c r="F538" s="308">
        <v>1.5</v>
      </c>
      <c r="G538" s="308">
        <v>0.5</v>
      </c>
      <c r="H538" s="308">
        <v>21</v>
      </c>
      <c r="I538" s="308">
        <v>96</v>
      </c>
      <c r="J538" s="309">
        <v>10</v>
      </c>
      <c r="K538" s="162" t="s">
        <v>207</v>
      </c>
      <c r="L538" s="65">
        <v>55.58</v>
      </c>
      <c r="M538" s="69">
        <f>SUM(L538*D538)/1000</f>
        <v>5.5579999999999998</v>
      </c>
    </row>
    <row r="539" spans="1:13" x14ac:dyDescent="0.25">
      <c r="A539" s="532"/>
      <c r="B539" s="124"/>
      <c r="C539" s="133"/>
      <c r="D539" s="231"/>
      <c r="E539" s="102"/>
      <c r="F539" s="282"/>
      <c r="G539" s="282"/>
      <c r="H539" s="282"/>
      <c r="I539" s="282"/>
      <c r="J539" s="283"/>
      <c r="K539" s="158"/>
      <c r="L539" s="65"/>
      <c r="M539" s="142"/>
    </row>
    <row r="540" spans="1:13" x14ac:dyDescent="0.25">
      <c r="A540" s="5" t="s">
        <v>133</v>
      </c>
      <c r="B540" s="13"/>
      <c r="C540" s="4"/>
      <c r="D540" s="166"/>
      <c r="E540" s="167"/>
      <c r="F540" s="187"/>
      <c r="G540" s="187"/>
      <c r="H540" s="187"/>
      <c r="I540" s="187"/>
      <c r="J540" s="188"/>
      <c r="K540" s="190"/>
      <c r="L540" s="65"/>
      <c r="M540" s="68"/>
    </row>
    <row r="541" spans="1:13" ht="30" x14ac:dyDescent="0.25">
      <c r="A541" s="781"/>
      <c r="B541" s="534" t="s">
        <v>156</v>
      </c>
      <c r="C541" s="140">
        <v>200</v>
      </c>
      <c r="D541" s="154"/>
      <c r="E541" s="154"/>
      <c r="F541" s="63"/>
      <c r="G541" s="63"/>
      <c r="H541" s="63"/>
      <c r="I541" s="63"/>
      <c r="J541" s="96"/>
      <c r="K541" s="125" t="s">
        <v>157</v>
      </c>
      <c r="L541" s="65"/>
      <c r="M541" s="64"/>
    </row>
    <row r="542" spans="1:13" x14ac:dyDescent="0.25">
      <c r="A542" s="782"/>
      <c r="B542" s="96" t="s">
        <v>158</v>
      </c>
      <c r="C542" s="96"/>
      <c r="D542" s="63">
        <v>34</v>
      </c>
      <c r="E542" s="63">
        <v>27.3</v>
      </c>
      <c r="F542" s="102">
        <v>0.48</v>
      </c>
      <c r="G542" s="63">
        <v>3.2000000000000001E-2</v>
      </c>
      <c r="H542" s="63">
        <v>2.8159999999999998</v>
      </c>
      <c r="I542" s="63">
        <v>13.44</v>
      </c>
      <c r="J542" s="96">
        <v>3.2</v>
      </c>
      <c r="K542" s="126"/>
      <c r="L542" s="114">
        <v>31</v>
      </c>
      <c r="M542" s="68">
        <f t="shared" ref="M542:M552" si="34">SUM(L542*D542)/1000</f>
        <v>1.054</v>
      </c>
    </row>
    <row r="543" spans="1:13" x14ac:dyDescent="0.25">
      <c r="A543" s="782"/>
      <c r="B543" s="96" t="s">
        <v>159</v>
      </c>
      <c r="C543" s="96"/>
      <c r="D543" s="63">
        <v>17.3</v>
      </c>
      <c r="E543" s="63">
        <v>14</v>
      </c>
      <c r="F543" s="59">
        <v>0.28799999999999998</v>
      </c>
      <c r="G543" s="51">
        <v>1.6E-2</v>
      </c>
      <c r="H543" s="51">
        <v>0.752</v>
      </c>
      <c r="I543" s="51">
        <v>4.4800000000000004</v>
      </c>
      <c r="J543" s="53">
        <v>7.2</v>
      </c>
      <c r="K543" s="126"/>
      <c r="L543" s="114">
        <v>36</v>
      </c>
      <c r="M543" s="68">
        <f t="shared" si="34"/>
        <v>0.62280000000000002</v>
      </c>
    </row>
    <row r="544" spans="1:13" x14ac:dyDescent="0.25">
      <c r="A544" s="782"/>
      <c r="B544" s="96" t="s">
        <v>36</v>
      </c>
      <c r="C544" s="96"/>
      <c r="D544" s="63">
        <v>31.3</v>
      </c>
      <c r="E544" s="63">
        <v>23.3</v>
      </c>
      <c r="F544" s="102">
        <v>0.31</v>
      </c>
      <c r="G544" s="63">
        <v>6.4000000000000001E-2</v>
      </c>
      <c r="H544" s="63">
        <v>2.6080000000000001</v>
      </c>
      <c r="I544" s="63">
        <v>12.32</v>
      </c>
      <c r="J544" s="96">
        <v>3.2</v>
      </c>
      <c r="K544" s="126"/>
      <c r="L544" s="114">
        <v>33</v>
      </c>
      <c r="M544" s="68">
        <f t="shared" si="34"/>
        <v>1.0329000000000002</v>
      </c>
    </row>
    <row r="545" spans="1:13" x14ac:dyDescent="0.25">
      <c r="A545" s="782"/>
      <c r="B545" s="96" t="s">
        <v>59</v>
      </c>
      <c r="C545" s="96"/>
      <c r="D545" s="63">
        <v>13.3</v>
      </c>
      <c r="E545" s="63">
        <v>10</v>
      </c>
      <c r="F545" s="63">
        <v>0.104</v>
      </c>
      <c r="G545" s="63">
        <v>8.0000000000000002E-3</v>
      </c>
      <c r="H545" s="63">
        <v>0.55200000000000005</v>
      </c>
      <c r="I545" s="63">
        <v>2.8</v>
      </c>
      <c r="J545" s="96">
        <v>0.4</v>
      </c>
      <c r="K545" s="126"/>
      <c r="L545" s="114">
        <v>36</v>
      </c>
      <c r="M545" s="68">
        <f t="shared" si="34"/>
        <v>0.4788</v>
      </c>
    </row>
    <row r="546" spans="1:13" x14ac:dyDescent="0.25">
      <c r="A546" s="782"/>
      <c r="B546" s="96" t="s">
        <v>32</v>
      </c>
      <c r="C546" s="96"/>
      <c r="D546" s="63">
        <v>10</v>
      </c>
      <c r="E546" s="63">
        <v>8</v>
      </c>
      <c r="F546" s="63">
        <v>0.112</v>
      </c>
      <c r="G546" s="63">
        <v>1.6E-2</v>
      </c>
      <c r="H546" s="63">
        <v>0.65600000000000003</v>
      </c>
      <c r="I546" s="63">
        <v>0.28000000000000003</v>
      </c>
      <c r="J546" s="96">
        <v>0.8</v>
      </c>
      <c r="K546" s="126"/>
      <c r="L546" s="114">
        <v>119</v>
      </c>
      <c r="M546" s="68">
        <f t="shared" si="34"/>
        <v>1.19</v>
      </c>
    </row>
    <row r="547" spans="1:13" x14ac:dyDescent="0.25">
      <c r="A547" s="782"/>
      <c r="B547" s="96" t="s">
        <v>60</v>
      </c>
      <c r="C547" s="96"/>
      <c r="D547" s="63">
        <v>2.7</v>
      </c>
      <c r="E547" s="63">
        <v>2.7</v>
      </c>
      <c r="F547" s="102">
        <v>0.28799999999999998</v>
      </c>
      <c r="G547" s="63">
        <v>0</v>
      </c>
      <c r="H547" s="63">
        <v>1.1399999999999999</v>
      </c>
      <c r="I547" s="63">
        <v>6.12</v>
      </c>
      <c r="J547" s="96">
        <v>2.7</v>
      </c>
      <c r="K547" s="126"/>
      <c r="L547" s="114">
        <v>80</v>
      </c>
      <c r="M547" s="68">
        <f t="shared" si="34"/>
        <v>0.216</v>
      </c>
    </row>
    <row r="548" spans="1:13" x14ac:dyDescent="0.25">
      <c r="A548" s="782"/>
      <c r="B548" s="96" t="s">
        <v>37</v>
      </c>
      <c r="C548" s="96"/>
      <c r="D548" s="63">
        <v>4</v>
      </c>
      <c r="E548" s="63">
        <v>4</v>
      </c>
      <c r="F548" s="102">
        <v>0</v>
      </c>
      <c r="G548" s="63">
        <v>3.996</v>
      </c>
      <c r="H548" s="63">
        <v>0</v>
      </c>
      <c r="I548" s="63">
        <v>35.96</v>
      </c>
      <c r="J548" s="96">
        <v>0</v>
      </c>
      <c r="K548" s="126"/>
      <c r="L548" s="114">
        <v>50</v>
      </c>
      <c r="M548" s="68">
        <f t="shared" si="34"/>
        <v>0.2</v>
      </c>
    </row>
    <row r="549" spans="1:13" x14ac:dyDescent="0.25">
      <c r="A549" s="782"/>
      <c r="B549" s="96" t="s">
        <v>49</v>
      </c>
      <c r="C549" s="96"/>
      <c r="D549" s="63">
        <v>2</v>
      </c>
      <c r="E549" s="63">
        <v>2</v>
      </c>
      <c r="F549" s="102">
        <v>0</v>
      </c>
      <c r="G549" s="63">
        <v>0</v>
      </c>
      <c r="H549" s="63">
        <v>1.996</v>
      </c>
      <c r="I549" s="63">
        <v>7.58</v>
      </c>
      <c r="J549" s="96">
        <v>0</v>
      </c>
      <c r="K549" s="126"/>
      <c r="L549" s="114">
        <v>16</v>
      </c>
      <c r="M549" s="68">
        <f t="shared" si="34"/>
        <v>3.2000000000000001E-2</v>
      </c>
    </row>
    <row r="550" spans="1:13" x14ac:dyDescent="0.25">
      <c r="A550" s="782"/>
      <c r="B550" s="96" t="s">
        <v>19</v>
      </c>
      <c r="C550" s="96"/>
      <c r="D550" s="63">
        <v>160</v>
      </c>
      <c r="E550" s="63">
        <v>160</v>
      </c>
      <c r="F550" s="102">
        <v>0</v>
      </c>
      <c r="G550" s="63">
        <v>0</v>
      </c>
      <c r="H550" s="63">
        <v>0</v>
      </c>
      <c r="I550" s="63">
        <v>0</v>
      </c>
      <c r="J550" s="96">
        <v>0</v>
      </c>
      <c r="K550" s="126"/>
      <c r="L550" s="114">
        <v>550</v>
      </c>
      <c r="M550" s="68">
        <f t="shared" si="34"/>
        <v>88</v>
      </c>
    </row>
    <row r="551" spans="1:13" x14ac:dyDescent="0.25">
      <c r="A551" s="782"/>
      <c r="B551" s="96" t="s">
        <v>61</v>
      </c>
      <c r="C551" s="96"/>
      <c r="D551" s="63">
        <v>7.0000000000000001E-3</v>
      </c>
      <c r="E551" s="63">
        <v>7.0000000000000001E-3</v>
      </c>
      <c r="F551" s="102">
        <v>0</v>
      </c>
      <c r="G551" s="63">
        <v>0</v>
      </c>
      <c r="H551" s="63">
        <v>0</v>
      </c>
      <c r="I551" s="63">
        <v>0</v>
      </c>
      <c r="J551" s="96">
        <v>0</v>
      </c>
      <c r="K551" s="126"/>
      <c r="L551" s="114">
        <v>130</v>
      </c>
      <c r="M551" s="68">
        <f t="shared" si="34"/>
        <v>9.1E-4</v>
      </c>
    </row>
    <row r="552" spans="1:13" x14ac:dyDescent="0.25">
      <c r="A552" s="782"/>
      <c r="B552" s="96" t="s">
        <v>112</v>
      </c>
      <c r="C552" s="96"/>
      <c r="D552" s="63">
        <v>1.2</v>
      </c>
      <c r="E552" s="63">
        <v>1.2</v>
      </c>
      <c r="F552" s="102">
        <v>0</v>
      </c>
      <c r="G552" s="63">
        <v>0</v>
      </c>
      <c r="H552" s="63">
        <v>0</v>
      </c>
      <c r="I552" s="63">
        <v>0</v>
      </c>
      <c r="J552" s="96">
        <v>0</v>
      </c>
      <c r="K552" s="126"/>
      <c r="L552" s="114">
        <v>0</v>
      </c>
      <c r="M552" s="68">
        <f t="shared" si="34"/>
        <v>0</v>
      </c>
    </row>
    <row r="553" spans="1:13" x14ac:dyDescent="0.25">
      <c r="A553" s="782"/>
      <c r="B553" s="96" t="s">
        <v>62</v>
      </c>
      <c r="C553" s="96"/>
      <c r="D553" s="63">
        <v>4</v>
      </c>
      <c r="E553" s="63">
        <v>4</v>
      </c>
      <c r="F553" s="63">
        <v>0.1</v>
      </c>
      <c r="G553" s="63">
        <v>0.6</v>
      </c>
      <c r="H553" s="63">
        <v>0.13600000000000001</v>
      </c>
      <c r="I553" s="63">
        <v>8.24</v>
      </c>
      <c r="J553" s="96">
        <v>1.2E-2</v>
      </c>
      <c r="K553" s="126"/>
      <c r="L553" s="65"/>
      <c r="M553" s="72">
        <f>SUM(M542:M552)</f>
        <v>92.82741</v>
      </c>
    </row>
    <row r="554" spans="1:13" x14ac:dyDescent="0.25">
      <c r="A554" s="782"/>
      <c r="B554" s="117"/>
      <c r="C554" s="117"/>
      <c r="D554" s="100"/>
      <c r="E554" s="100"/>
      <c r="F554" s="118">
        <f>SUM(F542:F553)</f>
        <v>1.6820000000000004</v>
      </c>
      <c r="G554" s="118">
        <f>SUM(G542:G553)</f>
        <v>4.7319999999999993</v>
      </c>
      <c r="H554" s="118">
        <f>SUM(H542:H553)</f>
        <v>10.655999999999999</v>
      </c>
      <c r="I554" s="118">
        <f>SUM(I542:I553)</f>
        <v>91.22</v>
      </c>
      <c r="J554" s="119">
        <f>SUM(J542:J553)</f>
        <v>17.512000000000004</v>
      </c>
      <c r="K554" s="156"/>
      <c r="L554" s="226"/>
      <c r="M554" s="108"/>
    </row>
    <row r="555" spans="1:13" x14ac:dyDescent="0.25">
      <c r="A555" s="782"/>
      <c r="B555" s="133" t="s">
        <v>88</v>
      </c>
      <c r="C555" s="584" t="s">
        <v>368</v>
      </c>
      <c r="D555" s="552"/>
      <c r="E555" s="552"/>
      <c r="F555" s="552">
        <f>F556+F557+F558+F559+F560+F561+F562+F563</f>
        <v>12.532</v>
      </c>
      <c r="G555" s="552">
        <f>G556+G557+G558+G559+G560+G561+G562+G563</f>
        <v>7.8790000000000004</v>
      </c>
      <c r="H555" s="552">
        <f>H556+H557+H558+H559+H560+H561+H562+H563</f>
        <v>6.6420000000000003</v>
      </c>
      <c r="I555" s="585">
        <f>I556+I557+I558+I559+I560+I561+I562+I563</f>
        <v>148.13</v>
      </c>
      <c r="J555" s="552">
        <f>J556+J557+J558+J559+J560+J561+J562+J563</f>
        <v>6.5580000000000007</v>
      </c>
      <c r="K555" s="112"/>
      <c r="L555" s="112"/>
      <c r="M555" s="108"/>
    </row>
    <row r="556" spans="1:13" x14ac:dyDescent="0.25">
      <c r="A556" s="782"/>
      <c r="B556" s="96" t="s">
        <v>369</v>
      </c>
      <c r="C556" s="584"/>
      <c r="D556" s="549">
        <v>95.2</v>
      </c>
      <c r="E556" s="549">
        <v>68</v>
      </c>
      <c r="F556" s="549">
        <f>16*E556/100</f>
        <v>10.88</v>
      </c>
      <c r="G556" s="549">
        <f>0.6*E556/100</f>
        <v>0.40799999999999997</v>
      </c>
      <c r="H556" s="549">
        <v>0</v>
      </c>
      <c r="I556" s="549">
        <f>69*E556/100</f>
        <v>46.92</v>
      </c>
      <c r="J556" s="549">
        <f>1*E556/100</f>
        <v>0.68</v>
      </c>
      <c r="K556" s="112"/>
      <c r="L556" s="112"/>
      <c r="M556" s="108"/>
    </row>
    <row r="557" spans="1:13" x14ac:dyDescent="0.25">
      <c r="A557" s="782"/>
      <c r="B557" s="96" t="s">
        <v>239</v>
      </c>
      <c r="C557" s="547"/>
      <c r="D557" s="549">
        <v>16</v>
      </c>
      <c r="E557" s="549">
        <v>13</v>
      </c>
      <c r="F557" s="549">
        <f>1.4*E557/100</f>
        <v>0.182</v>
      </c>
      <c r="G557" s="549">
        <v>0</v>
      </c>
      <c r="H557" s="549">
        <f>8.2*E557/100</f>
        <v>1.0659999999999998</v>
      </c>
      <c r="I557" s="551">
        <f>41*E557/100</f>
        <v>5.33</v>
      </c>
      <c r="J557" s="550">
        <f>10*E557/100</f>
        <v>1.3</v>
      </c>
      <c r="K557" s="112"/>
      <c r="L557" s="112"/>
      <c r="M557" s="108"/>
    </row>
    <row r="558" spans="1:13" x14ac:dyDescent="0.25">
      <c r="A558" s="782"/>
      <c r="B558" s="96" t="s">
        <v>370</v>
      </c>
      <c r="C558" s="548"/>
      <c r="D558" s="549">
        <v>4</v>
      </c>
      <c r="E558" s="549">
        <v>3</v>
      </c>
      <c r="F558" s="557">
        <f>3.7*E558/100</f>
        <v>0.11100000000000002</v>
      </c>
      <c r="G558" s="557">
        <f>0.4*E558/100</f>
        <v>1.2000000000000002E-2</v>
      </c>
      <c r="H558" s="557">
        <f>7.6*E558/100</f>
        <v>0.22799999999999998</v>
      </c>
      <c r="I558" s="560">
        <f>49*E558/100</f>
        <v>1.47</v>
      </c>
      <c r="J558" s="550">
        <f>150*E558/100</f>
        <v>4.5</v>
      </c>
      <c r="K558" s="112"/>
      <c r="L558" s="112"/>
      <c r="M558" s="108"/>
    </row>
    <row r="559" spans="1:13" x14ac:dyDescent="0.25">
      <c r="A559" s="782"/>
      <c r="B559" s="96" t="s">
        <v>228</v>
      </c>
      <c r="C559" s="548"/>
      <c r="D559" s="549">
        <v>6</v>
      </c>
      <c r="E559" s="549">
        <v>6</v>
      </c>
      <c r="F559" s="557">
        <f>2.8*E559/100</f>
        <v>0.16799999999999998</v>
      </c>
      <c r="G559" s="557">
        <f>3.2*E559/100</f>
        <v>0.19200000000000003</v>
      </c>
      <c r="H559" s="557">
        <f>4.7*E559/100</f>
        <v>0.28200000000000003</v>
      </c>
      <c r="I559" s="560">
        <f>58*E559/100</f>
        <v>3.48</v>
      </c>
      <c r="J559" s="561">
        <f>1.3*E559/100</f>
        <v>7.8000000000000014E-2</v>
      </c>
      <c r="K559" s="112"/>
      <c r="L559" s="112"/>
      <c r="M559" s="108"/>
    </row>
    <row r="560" spans="1:13" x14ac:dyDescent="0.25">
      <c r="A560" s="782"/>
      <c r="B560" s="96" t="s">
        <v>371</v>
      </c>
      <c r="C560" s="548"/>
      <c r="D560" s="549">
        <v>3</v>
      </c>
      <c r="E560" s="549">
        <v>3</v>
      </c>
      <c r="F560" s="557">
        <f>12.7*E560/100</f>
        <v>0.38099999999999995</v>
      </c>
      <c r="G560" s="557">
        <f>11.5*E560/100</f>
        <v>0.34499999999999997</v>
      </c>
      <c r="H560" s="557">
        <f>0.7*E560/100</f>
        <v>2.0999999999999998E-2</v>
      </c>
      <c r="I560" s="557">
        <f>157*E560/100</f>
        <v>4.71</v>
      </c>
      <c r="J560" s="557">
        <v>0</v>
      </c>
      <c r="K560" s="112"/>
      <c r="L560" s="112"/>
      <c r="M560" s="108"/>
    </row>
    <row r="561" spans="1:13" ht="21" customHeight="1" x14ac:dyDescent="0.25">
      <c r="A561" s="782"/>
      <c r="B561" s="96" t="s">
        <v>278</v>
      </c>
      <c r="C561" s="586"/>
      <c r="D561" s="549">
        <v>10</v>
      </c>
      <c r="E561" s="557">
        <v>10</v>
      </c>
      <c r="F561" s="557">
        <f>7.7*E561/100</f>
        <v>0.77</v>
      </c>
      <c r="G561" s="557">
        <f>3*E561/100</f>
        <v>0.3</v>
      </c>
      <c r="H561" s="557">
        <f>49.8*E561/100</f>
        <v>4.9800000000000004</v>
      </c>
      <c r="I561" s="560">
        <f>262*E561/100</f>
        <v>26.2</v>
      </c>
      <c r="J561" s="561">
        <v>0</v>
      </c>
      <c r="K561" s="112"/>
      <c r="L561" s="112"/>
      <c r="M561" s="278"/>
    </row>
    <row r="562" spans="1:13" x14ac:dyDescent="0.25">
      <c r="A562" s="782"/>
      <c r="B562" s="96" t="s">
        <v>241</v>
      </c>
      <c r="C562" s="546"/>
      <c r="D562" s="549">
        <v>3</v>
      </c>
      <c r="E562" s="557">
        <v>3</v>
      </c>
      <c r="F562" s="549">
        <v>0</v>
      </c>
      <c r="G562" s="549">
        <f>99.9*E562/100</f>
        <v>2.9970000000000003</v>
      </c>
      <c r="H562" s="587">
        <v>0</v>
      </c>
      <c r="I562" s="588">
        <f>899*E562/100</f>
        <v>26.97</v>
      </c>
      <c r="J562" s="550">
        <v>0</v>
      </c>
      <c r="K562" s="112"/>
      <c r="L562" s="112"/>
      <c r="M562" s="108"/>
    </row>
    <row r="563" spans="1:13" x14ac:dyDescent="0.25">
      <c r="A563" s="782"/>
      <c r="B563" s="96" t="s">
        <v>362</v>
      </c>
      <c r="C563" s="546"/>
      <c r="D563" s="549">
        <v>5</v>
      </c>
      <c r="E563" s="557">
        <v>5</v>
      </c>
      <c r="F563" s="549">
        <f>0.8*E563/100</f>
        <v>0.04</v>
      </c>
      <c r="G563" s="549">
        <f>72.5*E563/100</f>
        <v>3.625</v>
      </c>
      <c r="H563" s="549">
        <f>1.3*E563/100</f>
        <v>6.5000000000000002E-2</v>
      </c>
      <c r="I563" s="551">
        <f>661*E563/100</f>
        <v>33.049999999999997</v>
      </c>
      <c r="J563" s="550">
        <v>0</v>
      </c>
      <c r="K563" s="112"/>
      <c r="L563" s="112"/>
      <c r="M563" s="108"/>
    </row>
    <row r="564" spans="1:13" x14ac:dyDescent="0.25">
      <c r="A564" s="782"/>
      <c r="B564" s="96" t="s">
        <v>231</v>
      </c>
      <c r="C564" s="546"/>
      <c r="D564" s="549">
        <v>0.4</v>
      </c>
      <c r="E564" s="557">
        <v>0.4</v>
      </c>
      <c r="F564" s="549">
        <v>0</v>
      </c>
      <c r="G564" s="549">
        <v>0</v>
      </c>
      <c r="H564" s="587">
        <v>0</v>
      </c>
      <c r="I564" s="588">
        <v>0</v>
      </c>
      <c r="J564" s="550">
        <v>0</v>
      </c>
      <c r="K564" s="112"/>
      <c r="L564" s="112"/>
      <c r="M564" s="108"/>
    </row>
    <row r="565" spans="1:13" x14ac:dyDescent="0.25">
      <c r="A565" s="782"/>
      <c r="B565" s="133" t="s">
        <v>89</v>
      </c>
      <c r="C565" s="539">
        <v>150</v>
      </c>
      <c r="D565" s="538"/>
      <c r="E565" s="538"/>
      <c r="F565" s="539">
        <f>F566+F568+F569+F570</f>
        <v>3.0444000000000004</v>
      </c>
      <c r="G565" s="539">
        <f>G566+G568+G569+G570</f>
        <v>4.8785000000000007</v>
      </c>
      <c r="H565" s="539">
        <f>H566+H568+H569+H570</f>
        <v>21.545400000000001</v>
      </c>
      <c r="I565" s="539">
        <f>I566+I568+I569+I570</f>
        <v>142.393</v>
      </c>
      <c r="J565" s="539">
        <f>J566+J568+J569+J570</f>
        <v>25.6145</v>
      </c>
      <c r="K565" s="112"/>
      <c r="L565" s="112"/>
      <c r="M565" s="108"/>
    </row>
    <row r="566" spans="1:13" x14ac:dyDescent="0.25">
      <c r="A566" s="782"/>
      <c r="B566" s="96" t="s">
        <v>237</v>
      </c>
      <c r="C566" s="538"/>
      <c r="D566" s="538">
        <v>171</v>
      </c>
      <c r="E566" s="538">
        <v>128.30000000000001</v>
      </c>
      <c r="F566" s="538">
        <v>2.54</v>
      </c>
      <c r="G566" s="538">
        <v>0.50800000000000001</v>
      </c>
      <c r="H566" s="589">
        <v>20.701000000000001</v>
      </c>
      <c r="I566" s="589">
        <v>97.79</v>
      </c>
      <c r="J566" s="543">
        <v>25.4</v>
      </c>
      <c r="K566" s="112"/>
      <c r="L566" s="112"/>
      <c r="M566" s="108"/>
    </row>
    <row r="567" spans="1:13" x14ac:dyDescent="0.25">
      <c r="A567" s="782"/>
      <c r="B567" s="96" t="s">
        <v>228</v>
      </c>
      <c r="C567" s="538"/>
      <c r="D567" s="538">
        <v>23.7</v>
      </c>
      <c r="E567" s="538">
        <v>22.5</v>
      </c>
      <c r="F567" s="538">
        <v>0.63</v>
      </c>
      <c r="G567" s="538">
        <v>0.72</v>
      </c>
      <c r="H567" s="589">
        <v>1.0575000000000001</v>
      </c>
      <c r="I567" s="589">
        <v>13.05</v>
      </c>
      <c r="J567" s="543">
        <v>0.29249999999999998</v>
      </c>
      <c r="K567" s="112"/>
      <c r="L567" s="112"/>
      <c r="M567" s="108"/>
    </row>
    <row r="568" spans="1:13" x14ac:dyDescent="0.25">
      <c r="A568" s="782"/>
      <c r="B568" s="96" t="s">
        <v>279</v>
      </c>
      <c r="C568" s="537"/>
      <c r="D568" s="538">
        <v>5.3</v>
      </c>
      <c r="E568" s="539">
        <v>5.3</v>
      </c>
      <c r="F568" s="538">
        <v>4.24E-2</v>
      </c>
      <c r="G568" s="538">
        <v>3.8424999999999998</v>
      </c>
      <c r="H568" s="538">
        <v>6.8900000000000003E-2</v>
      </c>
      <c r="I568" s="538">
        <v>35.033000000000001</v>
      </c>
      <c r="J568" s="543">
        <v>0</v>
      </c>
      <c r="K568" s="112"/>
      <c r="L568" s="112"/>
      <c r="M568" s="108"/>
    </row>
    <row r="569" spans="1:13" ht="15" hidden="1" customHeight="1" x14ac:dyDescent="0.25">
      <c r="A569" s="782"/>
      <c r="B569" s="96" t="s">
        <v>228</v>
      </c>
      <c r="C569" s="541"/>
      <c r="D569" s="538">
        <v>17.399999999999999</v>
      </c>
      <c r="E569" s="538">
        <v>16.5</v>
      </c>
      <c r="F569" s="538">
        <f>2.8*E569/100</f>
        <v>0.46199999999999997</v>
      </c>
      <c r="G569" s="538">
        <f>3.2*E569/100</f>
        <v>0.52800000000000002</v>
      </c>
      <c r="H569" s="538">
        <f>4.7*E569/100</f>
        <v>0.77549999999999997</v>
      </c>
      <c r="I569" s="542">
        <f>58*E569/100</f>
        <v>9.57</v>
      </c>
      <c r="J569" s="543">
        <f>1.3*E569/100</f>
        <v>0.2145</v>
      </c>
      <c r="K569" s="112"/>
      <c r="L569" s="112"/>
      <c r="M569" s="108"/>
    </row>
    <row r="570" spans="1:13" x14ac:dyDescent="0.25">
      <c r="A570" s="782"/>
      <c r="B570" s="96" t="s">
        <v>231</v>
      </c>
      <c r="C570" s="541"/>
      <c r="D570" s="538">
        <v>1.5</v>
      </c>
      <c r="E570" s="538">
        <v>1.5</v>
      </c>
      <c r="F570" s="538">
        <v>0</v>
      </c>
      <c r="G570" s="538">
        <v>0</v>
      </c>
      <c r="H570" s="538">
        <v>0</v>
      </c>
      <c r="I570" s="542">
        <v>0</v>
      </c>
      <c r="J570" s="543">
        <v>0</v>
      </c>
      <c r="K570" s="112"/>
      <c r="L570" s="112"/>
      <c r="M570" s="278"/>
    </row>
    <row r="571" spans="1:13" x14ac:dyDescent="0.25">
      <c r="A571" s="782"/>
      <c r="B571" s="96"/>
      <c r="C571" s="607"/>
      <c r="D571" s="608"/>
      <c r="E571" s="608"/>
      <c r="F571" s="609">
        <f>SUM(F566:F570)</f>
        <v>3.6744000000000003</v>
      </c>
      <c r="G571" s="609">
        <f>SUM(G566:G570)</f>
        <v>5.5984999999999996</v>
      </c>
      <c r="H571" s="610">
        <f>SUM(H566:H570)</f>
        <v>22.602900000000002</v>
      </c>
      <c r="I571" s="610">
        <f>SUM(I566:I570)</f>
        <v>155.44299999999998</v>
      </c>
      <c r="J571" s="611">
        <f>SUM(J566:J570)</f>
        <v>25.907</v>
      </c>
      <c r="K571" s="112"/>
      <c r="L571" s="112"/>
      <c r="M571" s="278"/>
    </row>
    <row r="572" spans="1:13" x14ac:dyDescent="0.25">
      <c r="A572" s="782"/>
      <c r="B572" s="133" t="s">
        <v>180</v>
      </c>
      <c r="C572" s="124">
        <v>180</v>
      </c>
      <c r="D572" s="13"/>
      <c r="E572" s="13"/>
      <c r="F572" s="63"/>
      <c r="G572" s="63"/>
      <c r="H572" s="63"/>
      <c r="I572" s="63"/>
      <c r="J572" s="96"/>
      <c r="K572" s="108" t="s">
        <v>90</v>
      </c>
      <c r="L572" s="65"/>
      <c r="M572" s="68"/>
    </row>
    <row r="573" spans="1:13" x14ac:dyDescent="0.25">
      <c r="A573" s="782"/>
      <c r="B573" s="96" t="s">
        <v>182</v>
      </c>
      <c r="C573" s="107"/>
      <c r="D573" s="63">
        <v>18</v>
      </c>
      <c r="E573" s="63" t="s">
        <v>183</v>
      </c>
      <c r="F573" s="63">
        <v>0.93600000000000005</v>
      </c>
      <c r="G573" s="63">
        <v>5.3999999999999999E-2</v>
      </c>
      <c r="H573" s="63">
        <v>9.18</v>
      </c>
      <c r="I573" s="63">
        <v>41.76</v>
      </c>
      <c r="J573" s="96">
        <v>0.72</v>
      </c>
      <c r="K573" s="136"/>
      <c r="L573" s="114">
        <v>90</v>
      </c>
      <c r="M573" s="68">
        <f>SUM(L573*D573)/1000</f>
        <v>1.62</v>
      </c>
    </row>
    <row r="574" spans="1:13" x14ac:dyDescent="0.25">
      <c r="A574" s="782"/>
      <c r="B574" s="96" t="s">
        <v>38</v>
      </c>
      <c r="C574" s="107"/>
      <c r="D574" s="63">
        <v>14.4</v>
      </c>
      <c r="E574" s="63">
        <v>14.4</v>
      </c>
      <c r="F574" s="63">
        <v>0</v>
      </c>
      <c r="G574" s="63">
        <v>0</v>
      </c>
      <c r="H574" s="63">
        <v>14.371</v>
      </c>
      <c r="I574" s="63">
        <v>54.576000000000001</v>
      </c>
      <c r="J574" s="96">
        <v>0</v>
      </c>
      <c r="K574" s="136"/>
      <c r="L574" s="114">
        <v>50</v>
      </c>
      <c r="M574" s="68">
        <f>SUM(L574*D574)/1000</f>
        <v>0.72</v>
      </c>
    </row>
    <row r="575" spans="1:13" x14ac:dyDescent="0.25">
      <c r="A575" s="782"/>
      <c r="B575" s="96" t="s">
        <v>19</v>
      </c>
      <c r="C575" s="107"/>
      <c r="D575" s="63">
        <v>182.7</v>
      </c>
      <c r="E575" s="63">
        <v>182.7</v>
      </c>
      <c r="F575" s="63">
        <v>0</v>
      </c>
      <c r="G575" s="63">
        <v>0</v>
      </c>
      <c r="H575" s="63">
        <v>0</v>
      </c>
      <c r="I575" s="63">
        <v>0</v>
      </c>
      <c r="J575" s="96">
        <v>0</v>
      </c>
      <c r="K575" s="136"/>
      <c r="L575" s="114">
        <v>0</v>
      </c>
      <c r="M575" s="68">
        <f>SUM(L575*D575)/1000</f>
        <v>0</v>
      </c>
    </row>
    <row r="576" spans="1:13" x14ac:dyDescent="0.25">
      <c r="A576" s="782"/>
      <c r="B576" s="107"/>
      <c r="C576" s="107"/>
      <c r="D576" s="63"/>
      <c r="E576" s="63"/>
      <c r="F576" s="118">
        <f>SUM(F573:F575)</f>
        <v>0.93600000000000005</v>
      </c>
      <c r="G576" s="118">
        <f>SUM(G573:G575)</f>
        <v>5.3999999999999999E-2</v>
      </c>
      <c r="H576" s="118">
        <f>SUM(H573:H575)</f>
        <v>23.551000000000002</v>
      </c>
      <c r="I576" s="118">
        <f>SUM(I573:I575)</f>
        <v>96.335999999999999</v>
      </c>
      <c r="J576" s="118">
        <f>SUM(J573:J575)</f>
        <v>0.72</v>
      </c>
      <c r="K576" s="153"/>
      <c r="L576" s="47"/>
      <c r="M576" s="72">
        <f>SUM(M573:M575)</f>
        <v>2.34</v>
      </c>
    </row>
    <row r="577" spans="1:13" x14ac:dyDescent="0.25">
      <c r="A577" s="782"/>
      <c r="B577" s="109" t="s">
        <v>39</v>
      </c>
      <c r="C577" s="124">
        <v>40</v>
      </c>
      <c r="D577" s="63">
        <v>40</v>
      </c>
      <c r="E577" s="63">
        <v>40</v>
      </c>
      <c r="F577" s="118">
        <v>2.64</v>
      </c>
      <c r="G577" s="118">
        <v>0.48</v>
      </c>
      <c r="H577" s="118">
        <v>13.68</v>
      </c>
      <c r="I577" s="118">
        <v>72.400000000000006</v>
      </c>
      <c r="J577" s="139">
        <v>0</v>
      </c>
      <c r="K577" s="153" t="s">
        <v>73</v>
      </c>
      <c r="L577" s="114">
        <v>40</v>
      </c>
      <c r="M577" s="72">
        <f>SUM(L577*D577)/1000</f>
        <v>1.6</v>
      </c>
    </row>
    <row r="578" spans="1:13" x14ac:dyDescent="0.25">
      <c r="A578" s="782"/>
      <c r="B578" s="109" t="s">
        <v>40</v>
      </c>
      <c r="C578" s="124">
        <v>40</v>
      </c>
      <c r="D578" s="63">
        <v>40</v>
      </c>
      <c r="E578" s="63">
        <v>40</v>
      </c>
      <c r="F578" s="118">
        <v>3.85</v>
      </c>
      <c r="G578" s="118">
        <v>1.5</v>
      </c>
      <c r="H578" s="118">
        <v>24.9</v>
      </c>
      <c r="I578" s="118">
        <v>131</v>
      </c>
      <c r="J578" s="139">
        <v>0</v>
      </c>
      <c r="K578" s="153" t="s">
        <v>73</v>
      </c>
      <c r="L578" s="114">
        <v>35</v>
      </c>
      <c r="M578" s="72">
        <f>SUM(L578*D578)/1000</f>
        <v>1.4</v>
      </c>
    </row>
    <row r="579" spans="1:13" x14ac:dyDescent="0.25">
      <c r="A579" s="783"/>
      <c r="B579" s="124" t="s">
        <v>74</v>
      </c>
      <c r="C579" s="227"/>
      <c r="D579" s="102"/>
      <c r="E579" s="63"/>
      <c r="F579" s="142">
        <f>SUM(F550,F561,F570,F576:F578)</f>
        <v>8.1959999999999997</v>
      </c>
      <c r="G579" s="142">
        <f>SUM(G550,G561,G570,G576:G578)</f>
        <v>2.3340000000000001</v>
      </c>
      <c r="H579" s="142">
        <f>SUM(H550,H561,H570,H576:H578)</f>
        <v>67.11099999999999</v>
      </c>
      <c r="I579" s="142">
        <f>SUM(I550,I561,I570,I576:I578)</f>
        <v>325.93600000000004</v>
      </c>
      <c r="J579" s="142">
        <f>SUM(J550,J561,J570,J576:J578)</f>
        <v>0.72</v>
      </c>
      <c r="K579" s="158"/>
      <c r="L579" s="65"/>
      <c r="M579" s="71">
        <f>SUM(M550,M561,M570,M576:M578)</f>
        <v>93.34</v>
      </c>
    </row>
    <row r="580" spans="1:13" x14ac:dyDescent="0.25">
      <c r="A580" s="5" t="s">
        <v>136</v>
      </c>
      <c r="B580" s="13"/>
      <c r="C580" s="4"/>
      <c r="D580" s="105"/>
      <c r="E580" s="106"/>
      <c r="F580" s="228"/>
      <c r="G580" s="228"/>
      <c r="H580" s="228"/>
      <c r="I580" s="228"/>
      <c r="J580" s="229"/>
      <c r="K580" s="153"/>
      <c r="L580" s="65"/>
      <c r="M580" s="68"/>
    </row>
    <row r="581" spans="1:13" x14ac:dyDescent="0.25">
      <c r="A581" s="781"/>
      <c r="B581" s="533" t="s">
        <v>72</v>
      </c>
      <c r="C581" s="105" t="s">
        <v>187</v>
      </c>
      <c r="D581" s="13"/>
      <c r="E581" s="13"/>
      <c r="F581" s="13"/>
      <c r="G581" s="13"/>
      <c r="H581" s="13"/>
      <c r="I581" s="13"/>
      <c r="J581" s="96"/>
      <c r="K581" s="125" t="s">
        <v>188</v>
      </c>
      <c r="L581" s="65"/>
      <c r="M581" s="68"/>
    </row>
    <row r="582" spans="1:13" x14ac:dyDescent="0.25">
      <c r="A582" s="782"/>
      <c r="B582" s="533" t="s">
        <v>184</v>
      </c>
      <c r="C582" s="124"/>
      <c r="D582" s="13">
        <v>30</v>
      </c>
      <c r="E582" s="13">
        <v>30</v>
      </c>
      <c r="F582" s="13"/>
      <c r="G582" s="13"/>
      <c r="H582" s="13"/>
      <c r="I582" s="13"/>
      <c r="J582" s="96"/>
      <c r="K582" s="125"/>
      <c r="L582" s="144"/>
      <c r="M582" s="68"/>
    </row>
    <row r="583" spans="1:13" x14ac:dyDescent="0.25">
      <c r="A583" s="782"/>
      <c r="B583" s="107" t="s">
        <v>120</v>
      </c>
      <c r="C583" s="124"/>
      <c r="D583" s="63">
        <v>32.4</v>
      </c>
      <c r="E583" s="63">
        <v>32.4</v>
      </c>
      <c r="F583" s="63">
        <v>0</v>
      </c>
      <c r="G583" s="63">
        <v>0</v>
      </c>
      <c r="H583" s="63">
        <v>0</v>
      </c>
      <c r="I583" s="63">
        <v>0</v>
      </c>
      <c r="J583" s="96">
        <v>0</v>
      </c>
      <c r="K583" s="125"/>
      <c r="L583" s="144">
        <v>0</v>
      </c>
      <c r="M583" s="68">
        <f>SUM(L583*D583)/1000</f>
        <v>0</v>
      </c>
    </row>
    <row r="584" spans="1:13" x14ac:dyDescent="0.25">
      <c r="A584" s="782"/>
      <c r="B584" s="107" t="s">
        <v>185</v>
      </c>
      <c r="C584" s="107"/>
      <c r="D584" s="63">
        <v>0.3</v>
      </c>
      <c r="E584" s="63">
        <v>0.3</v>
      </c>
      <c r="F584" s="63">
        <v>0.06</v>
      </c>
      <c r="G584" s="63">
        <v>0</v>
      </c>
      <c r="H584" s="63">
        <v>2.07E-2</v>
      </c>
      <c r="I584" s="63">
        <v>0.45540000000000003</v>
      </c>
      <c r="J584" s="96">
        <v>0.03</v>
      </c>
      <c r="K584" s="126"/>
      <c r="L584" s="144">
        <v>400</v>
      </c>
      <c r="M584" s="68">
        <f>SUM(L584*D584)/1000</f>
        <v>0.12</v>
      </c>
    </row>
    <row r="585" spans="1:13" x14ac:dyDescent="0.25">
      <c r="A585" s="782"/>
      <c r="B585" s="107" t="s">
        <v>49</v>
      </c>
      <c r="C585" s="107"/>
      <c r="D585" s="63">
        <v>10</v>
      </c>
      <c r="E585" s="63">
        <v>10</v>
      </c>
      <c r="F585" s="63">
        <v>0</v>
      </c>
      <c r="G585" s="63">
        <v>0</v>
      </c>
      <c r="H585" s="63">
        <v>9.98</v>
      </c>
      <c r="I585" s="63">
        <v>37.9</v>
      </c>
      <c r="J585" s="96">
        <v>0</v>
      </c>
      <c r="K585" s="126"/>
      <c r="L585" s="144">
        <v>50.7</v>
      </c>
      <c r="M585" s="68">
        <f>SUM(L585*D585)/1000</f>
        <v>0.50700000000000001</v>
      </c>
    </row>
    <row r="586" spans="1:13" x14ac:dyDescent="0.25">
      <c r="A586" s="782"/>
      <c r="B586" s="107" t="s">
        <v>19</v>
      </c>
      <c r="C586" s="107"/>
      <c r="D586" s="63">
        <v>150</v>
      </c>
      <c r="E586" s="63">
        <v>150</v>
      </c>
      <c r="F586" s="63">
        <v>0</v>
      </c>
      <c r="G586" s="63">
        <v>0</v>
      </c>
      <c r="H586" s="63">
        <v>0</v>
      </c>
      <c r="I586" s="63">
        <v>0</v>
      </c>
      <c r="J586" s="96">
        <v>0</v>
      </c>
      <c r="K586" s="126"/>
      <c r="L586" s="144">
        <v>0</v>
      </c>
      <c r="M586" s="68">
        <f>SUM(L586*D586)/1000</f>
        <v>0</v>
      </c>
    </row>
    <row r="587" spans="1:13" x14ac:dyDescent="0.25">
      <c r="A587" s="782"/>
      <c r="B587" s="107"/>
      <c r="C587" s="107"/>
      <c r="D587" s="63"/>
      <c r="E587" s="63"/>
      <c r="F587" s="118">
        <f>SUM(F582:F586)</f>
        <v>0.06</v>
      </c>
      <c r="G587" s="118">
        <f>SUM(G582:G586)</f>
        <v>0</v>
      </c>
      <c r="H587" s="267">
        <f>SUM(H582:H586)</f>
        <v>10.0007</v>
      </c>
      <c r="I587" s="267">
        <f>SUM(I582:I586)</f>
        <v>38.355399999999996</v>
      </c>
      <c r="J587" s="119">
        <f>SUM(J582:J586)</f>
        <v>0.03</v>
      </c>
      <c r="K587" s="156"/>
      <c r="L587" s="230"/>
      <c r="M587" s="72">
        <f>SUM(M582:M586)</f>
        <v>0.627</v>
      </c>
    </row>
    <row r="588" spans="1:13" x14ac:dyDescent="0.25">
      <c r="A588" s="783"/>
      <c r="B588" s="338" t="s">
        <v>353</v>
      </c>
      <c r="C588" s="363">
        <v>40</v>
      </c>
      <c r="D588" s="340"/>
      <c r="E588" s="409">
        <v>50</v>
      </c>
      <c r="F588" s="417">
        <f>7.5*E588/100</f>
        <v>3.75</v>
      </c>
      <c r="G588" s="417">
        <f>11.8*E588/100</f>
        <v>5.9</v>
      </c>
      <c r="H588" s="417">
        <f>74.9*E588/100</f>
        <v>37.450000000000003</v>
      </c>
      <c r="I588" s="418">
        <f>417.1*E588/100</f>
        <v>208.55</v>
      </c>
      <c r="J588" s="419">
        <v>0</v>
      </c>
      <c r="K588" s="480" t="s">
        <v>73</v>
      </c>
      <c r="L588" s="230"/>
      <c r="M588" s="294"/>
    </row>
    <row r="589" spans="1:13" x14ac:dyDescent="0.25">
      <c r="A589" s="5"/>
      <c r="B589" s="124" t="s">
        <v>46</v>
      </c>
      <c r="C589" s="232"/>
      <c r="D589" s="175"/>
      <c r="E589" s="100"/>
      <c r="F589" s="332">
        <f>SUM(F587,F588)</f>
        <v>3.81</v>
      </c>
      <c r="G589" s="332">
        <f t="shared" ref="G589:J589" si="35">SUM(G587,G588)</f>
        <v>5.9</v>
      </c>
      <c r="H589" s="332">
        <f t="shared" si="35"/>
        <v>47.450700000000005</v>
      </c>
      <c r="I589" s="332">
        <f t="shared" si="35"/>
        <v>246.90540000000001</v>
      </c>
      <c r="J589" s="332">
        <f t="shared" si="35"/>
        <v>0.03</v>
      </c>
      <c r="K589" s="156"/>
      <c r="L589" s="65"/>
      <c r="M589" s="332">
        <f>SUM(M587,M588)</f>
        <v>0.627</v>
      </c>
    </row>
    <row r="590" spans="1:13" x14ac:dyDescent="0.25">
      <c r="A590" s="535" t="s">
        <v>138</v>
      </c>
      <c r="B590" s="146"/>
      <c r="C590" s="22"/>
      <c r="D590" s="23"/>
      <c r="E590" s="23"/>
      <c r="F590" s="624">
        <f>F537+F538+F579+F589</f>
        <v>22.011999999999997</v>
      </c>
      <c r="G590" s="320">
        <f>G537+G538+G579+G588+G589</f>
        <v>27.662999999999997</v>
      </c>
      <c r="H590" s="320">
        <f>H537+H538+H579+H589</f>
        <v>161.72639999999998</v>
      </c>
      <c r="I590" s="320">
        <f>I537+I579+I589</f>
        <v>798.22680000000003</v>
      </c>
      <c r="J590" s="320">
        <f>J537+J538+J579+J589</f>
        <v>11.000999999999999</v>
      </c>
      <c r="K590" s="30"/>
      <c r="L590" s="32"/>
      <c r="M590" s="33"/>
    </row>
    <row r="591" spans="1:13" x14ac:dyDescent="0.25">
      <c r="A591" s="5" t="s">
        <v>139</v>
      </c>
      <c r="B591" s="13"/>
      <c r="C591" s="13"/>
      <c r="D591" s="63"/>
      <c r="E591" s="63"/>
      <c r="F591" s="13"/>
      <c r="G591" s="13"/>
      <c r="H591" s="13"/>
      <c r="I591" s="13"/>
      <c r="J591" s="96"/>
      <c r="K591" s="125"/>
      <c r="L591" s="65"/>
      <c r="M591" s="64"/>
    </row>
    <row r="592" spans="1:13" x14ac:dyDescent="0.25">
      <c r="A592" s="5" t="s">
        <v>140</v>
      </c>
      <c r="B592" s="13"/>
      <c r="C592" s="4"/>
      <c r="D592" s="105"/>
      <c r="E592" s="106"/>
      <c r="F592" s="63"/>
      <c r="G592" s="63"/>
      <c r="H592" s="63"/>
      <c r="I592" s="63"/>
      <c r="J592" s="96"/>
      <c r="K592" s="155"/>
      <c r="L592" s="65"/>
      <c r="M592" s="64"/>
    </row>
    <row r="593" spans="1:13" ht="33" customHeight="1" x14ac:dyDescent="0.25">
      <c r="A593" s="781"/>
      <c r="B593" s="338" t="s">
        <v>225</v>
      </c>
      <c r="C593" s="339">
        <v>200</v>
      </c>
      <c r="D593" s="340"/>
      <c r="E593" s="340"/>
      <c r="F593" s="401">
        <f>F594+F595+F596+F597+F598</f>
        <v>5.7041000000000004</v>
      </c>
      <c r="G593" s="401">
        <f>G594+G595+G596+G597+G598</f>
        <v>3.3414000000000001</v>
      </c>
      <c r="H593" s="401">
        <f>H594+H595+H596+H597+H598</f>
        <v>39.474900000000005</v>
      </c>
      <c r="I593" s="401">
        <f>I594+I595+I596+I597+I598</f>
        <v>208.82599999999999</v>
      </c>
      <c r="J593" s="401">
        <f>J594+J595+J596+J597+J598</f>
        <v>1.2376</v>
      </c>
      <c r="K593" s="480" t="s">
        <v>226</v>
      </c>
      <c r="L593" s="65"/>
      <c r="M593" s="64"/>
    </row>
    <row r="594" spans="1:13" x14ac:dyDescent="0.25">
      <c r="A594" s="782"/>
      <c r="B594" s="342" t="s">
        <v>227</v>
      </c>
      <c r="C594" s="343"/>
      <c r="D594" s="340">
        <v>29.5</v>
      </c>
      <c r="E594" s="340">
        <v>29.5</v>
      </c>
      <c r="F594" s="340">
        <f>10.3*E594/100</f>
        <v>3.0385000000000004</v>
      </c>
      <c r="G594" s="340">
        <f>1*E594/100</f>
        <v>0.29499999999999998</v>
      </c>
      <c r="H594" s="344">
        <f>67.9*E594/100</f>
        <v>20.030500000000004</v>
      </c>
      <c r="I594" s="345">
        <f>328*E594/100</f>
        <v>96.76</v>
      </c>
      <c r="J594" s="346">
        <v>0</v>
      </c>
      <c r="K594" s="480"/>
      <c r="L594" s="114">
        <v>43.22</v>
      </c>
      <c r="M594" s="68">
        <f>SUM(L594*D594)/1000</f>
        <v>1.2749900000000001</v>
      </c>
    </row>
    <row r="595" spans="1:13" x14ac:dyDescent="0.25">
      <c r="A595" s="782"/>
      <c r="B595" s="342" t="s">
        <v>228</v>
      </c>
      <c r="C595" s="343"/>
      <c r="D595" s="340">
        <v>95.2</v>
      </c>
      <c r="E595" s="340">
        <v>95.2</v>
      </c>
      <c r="F595" s="340">
        <f>2.8*E595/100</f>
        <v>2.6656</v>
      </c>
      <c r="G595" s="340">
        <f>3.2*E595/100</f>
        <v>3.0464000000000002</v>
      </c>
      <c r="H595" s="344">
        <f>4.7*E595/100</f>
        <v>4.4744000000000002</v>
      </c>
      <c r="I595" s="345">
        <f>58*E595/100</f>
        <v>55.216000000000001</v>
      </c>
      <c r="J595" s="346">
        <f>1.3*E595/100</f>
        <v>1.2376</v>
      </c>
      <c r="K595" s="480"/>
      <c r="L595" s="114">
        <v>0</v>
      </c>
      <c r="M595" s="68">
        <f>SUM(L595*D595)/1000</f>
        <v>0</v>
      </c>
    </row>
    <row r="596" spans="1:13" x14ac:dyDescent="0.25">
      <c r="A596" s="782"/>
      <c r="B596" s="342" t="s">
        <v>229</v>
      </c>
      <c r="C596" s="343"/>
      <c r="D596" s="340">
        <v>71.400000000000006</v>
      </c>
      <c r="E596" s="340">
        <v>71.400000000000006</v>
      </c>
      <c r="F596" s="340">
        <v>0</v>
      </c>
      <c r="G596" s="340">
        <v>0</v>
      </c>
      <c r="H596" s="344">
        <v>0</v>
      </c>
      <c r="I596" s="345">
        <v>0</v>
      </c>
      <c r="J596" s="346">
        <v>0</v>
      </c>
      <c r="K596" s="480"/>
      <c r="L596" s="114">
        <v>32.659999999999997</v>
      </c>
      <c r="M596" s="68">
        <f>SUM(L596*D596)/1000</f>
        <v>2.3319239999999999</v>
      </c>
    </row>
    <row r="597" spans="1:13" x14ac:dyDescent="0.25">
      <c r="A597" s="782"/>
      <c r="B597" s="342" t="s">
        <v>230</v>
      </c>
      <c r="C597" s="343"/>
      <c r="D597" s="340">
        <v>15</v>
      </c>
      <c r="E597" s="340">
        <v>15</v>
      </c>
      <c r="F597" s="340">
        <v>0</v>
      </c>
      <c r="G597" s="340">
        <v>0</v>
      </c>
      <c r="H597" s="347">
        <f>99.8*E597/100</f>
        <v>14.97</v>
      </c>
      <c r="I597" s="345">
        <f>379*E597/100</f>
        <v>56.85</v>
      </c>
      <c r="J597" s="346">
        <v>0</v>
      </c>
      <c r="K597" s="480"/>
      <c r="L597" s="114">
        <v>376.98</v>
      </c>
      <c r="M597" s="68">
        <f>SUM(L597*D597)/1000</f>
        <v>5.6547000000000009</v>
      </c>
    </row>
    <row r="598" spans="1:13" x14ac:dyDescent="0.25">
      <c r="A598" s="782"/>
      <c r="B598" s="342" t="s">
        <v>231</v>
      </c>
      <c r="C598" s="343"/>
      <c r="D598" s="340">
        <v>0.3</v>
      </c>
      <c r="E598" s="340">
        <v>0.3</v>
      </c>
      <c r="F598" s="340">
        <v>0</v>
      </c>
      <c r="G598" s="340">
        <v>0</v>
      </c>
      <c r="H598" s="340">
        <v>0</v>
      </c>
      <c r="I598" s="345">
        <v>0</v>
      </c>
      <c r="J598" s="346">
        <v>0</v>
      </c>
      <c r="K598" s="480"/>
      <c r="L598" s="114">
        <v>50.7</v>
      </c>
      <c r="M598" s="68">
        <f>SUM(L598*D598)/1000</f>
        <v>1.5210000000000001E-2</v>
      </c>
    </row>
    <row r="599" spans="1:13" x14ac:dyDescent="0.25">
      <c r="A599" s="782"/>
      <c r="B599" s="533" t="s">
        <v>72</v>
      </c>
      <c r="C599" s="105" t="s">
        <v>187</v>
      </c>
      <c r="D599" s="13"/>
      <c r="E599" s="13"/>
      <c r="F599" s="13"/>
      <c r="G599" s="13"/>
      <c r="H599" s="13"/>
      <c r="I599" s="13"/>
      <c r="J599" s="96"/>
      <c r="K599" s="125" t="s">
        <v>188</v>
      </c>
      <c r="L599" s="65"/>
      <c r="M599" s="64"/>
    </row>
    <row r="600" spans="1:13" x14ac:dyDescent="0.25">
      <c r="A600" s="782"/>
      <c r="B600" s="533" t="s">
        <v>184</v>
      </c>
      <c r="C600" s="124"/>
      <c r="D600" s="13">
        <v>30</v>
      </c>
      <c r="E600" s="13">
        <v>30</v>
      </c>
      <c r="F600" s="13"/>
      <c r="G600" s="13"/>
      <c r="H600" s="13"/>
      <c r="I600" s="13"/>
      <c r="J600" s="96"/>
      <c r="K600" s="125"/>
      <c r="L600" s="65"/>
      <c r="M600" s="64"/>
    </row>
    <row r="601" spans="1:13" x14ac:dyDescent="0.25">
      <c r="A601" s="782"/>
      <c r="B601" s="107" t="s">
        <v>120</v>
      </c>
      <c r="C601" s="124"/>
      <c r="D601" s="63">
        <v>32.4</v>
      </c>
      <c r="E601" s="63">
        <v>32.4</v>
      </c>
      <c r="F601" s="63">
        <v>0</v>
      </c>
      <c r="G601" s="63">
        <v>0</v>
      </c>
      <c r="H601" s="63">
        <v>0</v>
      </c>
      <c r="I601" s="63">
        <v>0</v>
      </c>
      <c r="J601" s="96">
        <v>0</v>
      </c>
      <c r="K601" s="125"/>
      <c r="L601" s="65"/>
      <c r="M601" s="64"/>
    </row>
    <row r="602" spans="1:13" x14ac:dyDescent="0.25">
      <c r="A602" s="782"/>
      <c r="B602" s="107" t="s">
        <v>185</v>
      </c>
      <c r="C602" s="107"/>
      <c r="D602" s="63">
        <v>0.3</v>
      </c>
      <c r="E602" s="63">
        <v>0.3</v>
      </c>
      <c r="F602" s="63">
        <v>0.06</v>
      </c>
      <c r="G602" s="63">
        <v>0</v>
      </c>
      <c r="H602" s="63">
        <v>2.07E-2</v>
      </c>
      <c r="I602" s="63">
        <v>0.45540000000000003</v>
      </c>
      <c r="J602" s="96">
        <v>0.03</v>
      </c>
      <c r="K602" s="126"/>
      <c r="L602" s="114">
        <v>375</v>
      </c>
      <c r="M602" s="68">
        <f>SUM(L602*D602)/1000</f>
        <v>0.1125</v>
      </c>
    </row>
    <row r="603" spans="1:13" x14ac:dyDescent="0.25">
      <c r="A603" s="782"/>
      <c r="B603" s="107" t="s">
        <v>49</v>
      </c>
      <c r="C603" s="107"/>
      <c r="D603" s="63">
        <v>10</v>
      </c>
      <c r="E603" s="63">
        <v>10</v>
      </c>
      <c r="F603" s="63">
        <v>0</v>
      </c>
      <c r="G603" s="63">
        <v>0</v>
      </c>
      <c r="H603" s="63">
        <v>9.98</v>
      </c>
      <c r="I603" s="63">
        <v>37.9</v>
      </c>
      <c r="J603" s="96">
        <v>0</v>
      </c>
      <c r="K603" s="126"/>
      <c r="L603" s="114">
        <v>50</v>
      </c>
      <c r="M603" s="68">
        <f>SUM(L603*D603)/1000</f>
        <v>0.5</v>
      </c>
    </row>
    <row r="604" spans="1:13" x14ac:dyDescent="0.25">
      <c r="A604" s="782"/>
      <c r="B604" s="107" t="s">
        <v>19</v>
      </c>
      <c r="C604" s="107"/>
      <c r="D604" s="63">
        <v>150</v>
      </c>
      <c r="E604" s="63">
        <v>150</v>
      </c>
      <c r="F604" s="63">
        <v>0</v>
      </c>
      <c r="G604" s="63">
        <v>0</v>
      </c>
      <c r="H604" s="63">
        <v>0</v>
      </c>
      <c r="I604" s="63">
        <v>0</v>
      </c>
      <c r="J604" s="96">
        <v>0</v>
      </c>
      <c r="K604" s="126"/>
      <c r="L604" s="114">
        <v>0</v>
      </c>
      <c r="M604" s="68">
        <f>SUM(L604*D604)/1000</f>
        <v>0</v>
      </c>
    </row>
    <row r="605" spans="1:13" x14ac:dyDescent="0.25">
      <c r="A605" s="782"/>
      <c r="B605" s="157"/>
      <c r="C605" s="157"/>
      <c r="D605" s="51"/>
      <c r="E605" s="51"/>
      <c r="F605" s="274">
        <f>SUM(F600:F604)</f>
        <v>0.06</v>
      </c>
      <c r="G605" s="274">
        <f t="shared" ref="G605:J605" si="36">SUM(G600:G604)</f>
        <v>0</v>
      </c>
      <c r="H605" s="274">
        <f t="shared" si="36"/>
        <v>10.0007</v>
      </c>
      <c r="I605" s="274">
        <f t="shared" si="36"/>
        <v>38.355399999999996</v>
      </c>
      <c r="J605" s="274">
        <f t="shared" si="36"/>
        <v>0.03</v>
      </c>
      <c r="K605" s="156"/>
      <c r="L605" s="65"/>
      <c r="M605" s="72">
        <f>SUM(M602:M604)</f>
        <v>0.61250000000000004</v>
      </c>
    </row>
    <row r="606" spans="1:13" x14ac:dyDescent="0.25">
      <c r="A606" s="783"/>
      <c r="B606" s="379" t="s">
        <v>137</v>
      </c>
      <c r="C606" s="339">
        <v>25</v>
      </c>
      <c r="D606" s="340">
        <v>25</v>
      </c>
      <c r="E606" s="340">
        <v>25</v>
      </c>
      <c r="F606" s="401">
        <f>7.5*E606/100</f>
        <v>1.875</v>
      </c>
      <c r="G606" s="401">
        <f>11.8*E606/100</f>
        <v>2.95</v>
      </c>
      <c r="H606" s="401">
        <f>74.9*E606/100</f>
        <v>18.725000000000001</v>
      </c>
      <c r="I606" s="429">
        <f>417.1*E606/100</f>
        <v>104.27500000000001</v>
      </c>
      <c r="J606" s="411">
        <v>0</v>
      </c>
      <c r="K606" s="480" t="s">
        <v>73</v>
      </c>
      <c r="L606" s="79"/>
      <c r="M606" s="590"/>
    </row>
    <row r="607" spans="1:13" ht="15" hidden="1" customHeight="1" x14ac:dyDescent="0.25">
      <c r="A607" s="781"/>
      <c r="B607" s="138" t="s">
        <v>57</v>
      </c>
      <c r="C607" s="150"/>
      <c r="D607" s="63"/>
      <c r="E607" s="13"/>
      <c r="F607" s="151"/>
      <c r="G607" s="151"/>
      <c r="H607" s="151"/>
      <c r="I607" s="151"/>
      <c r="J607" s="151"/>
      <c r="K607" s="245"/>
      <c r="L607" s="246"/>
      <c r="M607" s="247"/>
    </row>
    <row r="608" spans="1:13" x14ac:dyDescent="0.25">
      <c r="A608" s="782"/>
      <c r="B608" s="350" t="s">
        <v>338</v>
      </c>
      <c r="C608" s="339">
        <v>100</v>
      </c>
      <c r="D608" s="340">
        <v>100</v>
      </c>
      <c r="E608" s="340">
        <v>100</v>
      </c>
      <c r="F608" s="417">
        <v>0.4</v>
      </c>
      <c r="G608" s="417">
        <v>0.4</v>
      </c>
      <c r="H608" s="417">
        <v>9.8000000000000007</v>
      </c>
      <c r="I608" s="418">
        <v>47</v>
      </c>
      <c r="J608" s="419">
        <v>10</v>
      </c>
      <c r="K608" s="156" t="s">
        <v>73</v>
      </c>
      <c r="L608" s="246"/>
      <c r="M608" s="247"/>
    </row>
    <row r="609" spans="1:13" x14ac:dyDescent="0.25">
      <c r="A609" s="782"/>
      <c r="B609" s="138"/>
      <c r="C609" s="150"/>
      <c r="D609" s="63"/>
      <c r="E609" s="13"/>
      <c r="F609" s="151"/>
      <c r="G609" s="151"/>
      <c r="H609" s="151"/>
      <c r="I609" s="151"/>
      <c r="J609" s="151"/>
      <c r="K609" s="245"/>
      <c r="L609" s="246"/>
      <c r="M609" s="247"/>
    </row>
    <row r="610" spans="1:13" x14ac:dyDescent="0.25">
      <c r="A610" s="783"/>
      <c r="B610" s="124" t="s">
        <v>57</v>
      </c>
      <c r="C610" s="133"/>
      <c r="D610" s="63"/>
      <c r="E610" s="63"/>
      <c r="F610" s="142">
        <f>SUM(F596,F600,F606,F607)</f>
        <v>1.875</v>
      </c>
      <c r="G610" s="142">
        <f>SUM(G596,G600,G606,G607)</f>
        <v>2.95</v>
      </c>
      <c r="H610" s="142">
        <f>SUM(H596,H600,H606,H607)</f>
        <v>18.725000000000001</v>
      </c>
      <c r="I610" s="142">
        <f>SUM(I596,I600,I606,I607)</f>
        <v>104.27500000000001</v>
      </c>
      <c r="J610" s="142">
        <f>SUM(J596,J600,J606,J607)</f>
        <v>0</v>
      </c>
      <c r="K610" s="162"/>
      <c r="L610" s="65"/>
      <c r="M610" s="71">
        <f>SUM(M596,M600,M606,M607)</f>
        <v>2.3319239999999999</v>
      </c>
    </row>
    <row r="611" spans="1:13" x14ac:dyDescent="0.25">
      <c r="A611" s="5" t="s">
        <v>142</v>
      </c>
      <c r="B611" s="13"/>
      <c r="C611" s="4"/>
      <c r="D611" s="105"/>
      <c r="E611" s="106"/>
      <c r="F611" s="63"/>
      <c r="G611" s="63"/>
      <c r="H611" s="63"/>
      <c r="I611" s="63"/>
      <c r="J611" s="96"/>
      <c r="K611" s="126"/>
      <c r="L611" s="65"/>
      <c r="M611" s="64"/>
    </row>
    <row r="612" spans="1:13" ht="29.25" x14ac:dyDescent="0.25">
      <c r="A612" s="781"/>
      <c r="B612" s="351" t="s">
        <v>275</v>
      </c>
      <c r="C612" s="339">
        <v>200</v>
      </c>
      <c r="D612" s="352"/>
      <c r="E612" s="340"/>
      <c r="F612" s="401">
        <f>F613+F614+F615+F616+F617+F618+F619</f>
        <v>2.2480000000000002</v>
      </c>
      <c r="G612" s="401">
        <f>G613+G614+G615+G616+G617+G618+G619</f>
        <v>2.3260000000000001</v>
      </c>
      <c r="H612" s="401">
        <f>H613+H614+H615+H616+H617+H618+H619</f>
        <v>16.564</v>
      </c>
      <c r="I612" s="401">
        <f>I613+I614+I615+I616+I617+I618+I619</f>
        <v>94.596000000000004</v>
      </c>
      <c r="J612" s="401">
        <f>J613+J614+J615+J616+J617+J618+J619</f>
        <v>13.200000000000001</v>
      </c>
      <c r="K612" s="481" t="s">
        <v>277</v>
      </c>
      <c r="L612" s="65"/>
      <c r="M612" s="64"/>
    </row>
    <row r="613" spans="1:13" x14ac:dyDescent="0.25">
      <c r="A613" s="782"/>
      <c r="B613" s="353" t="s">
        <v>237</v>
      </c>
      <c r="C613" s="343"/>
      <c r="D613" s="340">
        <v>80</v>
      </c>
      <c r="E613" s="340">
        <v>60</v>
      </c>
      <c r="F613" s="340">
        <f>E613*2/100</f>
        <v>1.2</v>
      </c>
      <c r="G613" s="340">
        <f>0.4*E613/100</f>
        <v>0.24</v>
      </c>
      <c r="H613" s="340">
        <f>16.3*E613/100</f>
        <v>9.7799999999999994</v>
      </c>
      <c r="I613" s="340">
        <f>77*E613/100</f>
        <v>46.2</v>
      </c>
      <c r="J613" s="346">
        <v>12</v>
      </c>
      <c r="K613" s="480"/>
      <c r="L613" s="114">
        <v>20.7</v>
      </c>
      <c r="M613" s="68">
        <f t="shared" ref="M613:M619" si="37">SUM(L613*D613)/1000</f>
        <v>1.6559999999999999</v>
      </c>
    </row>
    <row r="614" spans="1:13" x14ac:dyDescent="0.25">
      <c r="A614" s="782"/>
      <c r="B614" s="353" t="s">
        <v>276</v>
      </c>
      <c r="C614" s="343"/>
      <c r="D614" s="340">
        <v>8</v>
      </c>
      <c r="E614" s="340">
        <v>8</v>
      </c>
      <c r="F614" s="340">
        <f>10.4*E614/100</f>
        <v>0.83200000000000007</v>
      </c>
      <c r="G614" s="340">
        <f>1.1*E614/100</f>
        <v>8.8000000000000009E-2</v>
      </c>
      <c r="H614" s="340">
        <f>69.7*E614/100</f>
        <v>5.5760000000000005</v>
      </c>
      <c r="I614" s="340">
        <f>337*E614/100</f>
        <v>26.96</v>
      </c>
      <c r="J614" s="346">
        <v>0</v>
      </c>
      <c r="K614" s="480"/>
      <c r="L614" s="114">
        <v>21.89</v>
      </c>
      <c r="M614" s="68">
        <f t="shared" si="37"/>
        <v>0.17512</v>
      </c>
    </row>
    <row r="615" spans="1:13" x14ac:dyDescent="0.25">
      <c r="A615" s="782"/>
      <c r="B615" s="353" t="s">
        <v>239</v>
      </c>
      <c r="C615" s="343"/>
      <c r="D615" s="340">
        <v>10</v>
      </c>
      <c r="E615" s="340">
        <v>8</v>
      </c>
      <c r="F615" s="340">
        <f>1.4*E615/100</f>
        <v>0.11199999999999999</v>
      </c>
      <c r="G615" s="340">
        <v>0</v>
      </c>
      <c r="H615" s="340">
        <f>8.2*E615/100</f>
        <v>0.65599999999999992</v>
      </c>
      <c r="I615" s="340">
        <f>8.2*E615/100</f>
        <v>0.65599999999999992</v>
      </c>
      <c r="J615" s="346">
        <v>0.8</v>
      </c>
      <c r="K615" s="480"/>
      <c r="L615" s="114">
        <v>38.5</v>
      </c>
      <c r="M615" s="68">
        <f t="shared" si="37"/>
        <v>0.38500000000000001</v>
      </c>
    </row>
    <row r="616" spans="1:13" x14ac:dyDescent="0.25">
      <c r="A616" s="782"/>
      <c r="B616" s="353" t="s">
        <v>238</v>
      </c>
      <c r="C616" s="343"/>
      <c r="D616" s="340">
        <v>10</v>
      </c>
      <c r="E616" s="340">
        <v>8</v>
      </c>
      <c r="F616" s="340">
        <f>1.3*E616/100</f>
        <v>0.10400000000000001</v>
      </c>
      <c r="G616" s="340">
        <v>0</v>
      </c>
      <c r="H616" s="340">
        <f>6.9*E616/100</f>
        <v>0.55200000000000005</v>
      </c>
      <c r="I616" s="340">
        <f>35*E616/100</f>
        <v>2.8</v>
      </c>
      <c r="J616" s="346">
        <v>0.4</v>
      </c>
      <c r="K616" s="480"/>
      <c r="L616" s="114">
        <v>21.98</v>
      </c>
      <c r="M616" s="68">
        <f t="shared" si="37"/>
        <v>0.21980000000000002</v>
      </c>
    </row>
    <row r="617" spans="1:13" x14ac:dyDescent="0.25">
      <c r="A617" s="782"/>
      <c r="B617" s="353" t="s">
        <v>241</v>
      </c>
      <c r="C617" s="343"/>
      <c r="D617" s="340">
        <v>2</v>
      </c>
      <c r="E617" s="340">
        <v>2</v>
      </c>
      <c r="F617" s="340">
        <v>0</v>
      </c>
      <c r="G617" s="340">
        <f>99.9*E617/100</f>
        <v>1.9980000000000002</v>
      </c>
      <c r="H617" s="340">
        <v>0</v>
      </c>
      <c r="I617" s="340">
        <f>899*E617/100</f>
        <v>17.98</v>
      </c>
      <c r="J617" s="346">
        <v>0</v>
      </c>
      <c r="K617" s="480"/>
      <c r="L617" s="114">
        <v>104</v>
      </c>
      <c r="M617" s="68">
        <f t="shared" si="37"/>
        <v>0.20799999999999999</v>
      </c>
    </row>
    <row r="618" spans="1:13" x14ac:dyDescent="0.25">
      <c r="A618" s="782"/>
      <c r="B618" s="353" t="s">
        <v>231</v>
      </c>
      <c r="C618" s="343"/>
      <c r="D618" s="340">
        <v>1.3</v>
      </c>
      <c r="E618" s="340">
        <v>1.3</v>
      </c>
      <c r="F618" s="340">
        <v>0</v>
      </c>
      <c r="G618" s="340">
        <v>0</v>
      </c>
      <c r="H618" s="340">
        <v>0</v>
      </c>
      <c r="I618" s="340">
        <v>0</v>
      </c>
      <c r="J618" s="346">
        <v>0</v>
      </c>
      <c r="K618" s="480"/>
      <c r="L618" s="114">
        <v>92.2</v>
      </c>
      <c r="M618" s="68">
        <f t="shared" si="37"/>
        <v>0.11986000000000001</v>
      </c>
    </row>
    <row r="619" spans="1:13" x14ac:dyDescent="0.25">
      <c r="A619" s="782"/>
      <c r="B619" s="353" t="s">
        <v>229</v>
      </c>
      <c r="C619" s="343"/>
      <c r="D619" s="340">
        <v>140</v>
      </c>
      <c r="E619" s="340">
        <v>140</v>
      </c>
      <c r="F619" s="340">
        <v>0</v>
      </c>
      <c r="G619" s="340">
        <v>0</v>
      </c>
      <c r="H619" s="340">
        <v>0</v>
      </c>
      <c r="I619" s="340">
        <v>0</v>
      </c>
      <c r="J619" s="346">
        <v>0</v>
      </c>
      <c r="K619" s="480"/>
      <c r="L619" s="114">
        <v>153</v>
      </c>
      <c r="M619" s="68">
        <f t="shared" si="37"/>
        <v>21.42</v>
      </c>
    </row>
    <row r="620" spans="1:13" x14ac:dyDescent="0.25">
      <c r="A620" s="782"/>
      <c r="B620" s="107"/>
      <c r="C620" s="107"/>
      <c r="D620" s="63"/>
      <c r="E620" s="63"/>
      <c r="F620" s="118">
        <f>SUM(F613:F619)</f>
        <v>2.2480000000000002</v>
      </c>
      <c r="G620" s="118">
        <f>SUM(G613:G619)</f>
        <v>2.3260000000000001</v>
      </c>
      <c r="H620" s="118">
        <f>SUM(H613:H619)</f>
        <v>16.564</v>
      </c>
      <c r="I620" s="118">
        <f>SUM(I613:I619)</f>
        <v>94.596000000000004</v>
      </c>
      <c r="J620" s="119">
        <f>SUM(J613:J619)</f>
        <v>13.200000000000001</v>
      </c>
      <c r="K620" s="156"/>
      <c r="L620" s="65"/>
      <c r="M620" s="72">
        <f>SUM(M613:M619)</f>
        <v>24.183780000000002</v>
      </c>
    </row>
    <row r="621" spans="1:13" x14ac:dyDescent="0.25">
      <c r="A621" s="782"/>
      <c r="B621" s="533" t="s">
        <v>63</v>
      </c>
      <c r="C621" s="124">
        <v>70</v>
      </c>
      <c r="D621" s="13"/>
      <c r="E621" s="13"/>
      <c r="F621" s="13"/>
      <c r="G621" s="13"/>
      <c r="H621" s="13"/>
      <c r="I621" s="13"/>
      <c r="J621" s="96"/>
      <c r="K621" s="108" t="s">
        <v>64</v>
      </c>
      <c r="L621" s="65"/>
      <c r="M621" s="64"/>
    </row>
    <row r="622" spans="1:13" x14ac:dyDescent="0.25">
      <c r="A622" s="782"/>
      <c r="B622" s="107" t="s">
        <v>65</v>
      </c>
      <c r="C622" s="107"/>
      <c r="D622" s="63">
        <v>52</v>
      </c>
      <c r="E622" s="63">
        <v>38</v>
      </c>
      <c r="F622" s="63">
        <v>6.99</v>
      </c>
      <c r="G622" s="63">
        <v>6.0190000000000001</v>
      </c>
      <c r="H622" s="63">
        <v>0</v>
      </c>
      <c r="I622" s="63">
        <v>82.16</v>
      </c>
      <c r="J622" s="96">
        <v>0</v>
      </c>
      <c r="K622" s="136"/>
      <c r="L622" s="114">
        <v>368.17</v>
      </c>
      <c r="M622" s="68">
        <f t="shared" ref="M622:M627" si="38">SUM(L622*D622)/1000</f>
        <v>19.144839999999999</v>
      </c>
    </row>
    <row r="623" spans="1:13" x14ac:dyDescent="0.25">
      <c r="A623" s="782"/>
      <c r="B623" s="107" t="s">
        <v>40</v>
      </c>
      <c r="C623" s="107"/>
      <c r="D623" s="63">
        <v>8</v>
      </c>
      <c r="E623" s="63">
        <v>8</v>
      </c>
      <c r="F623" s="63">
        <v>0.81</v>
      </c>
      <c r="G623" s="63">
        <v>8.5999999999999993E-2</v>
      </c>
      <c r="H623" s="63">
        <v>5.43</v>
      </c>
      <c r="I623" s="63">
        <v>26.28</v>
      </c>
      <c r="J623" s="96">
        <v>0</v>
      </c>
      <c r="K623" s="152"/>
      <c r="L623" s="114">
        <v>35</v>
      </c>
      <c r="M623" s="68">
        <f t="shared" si="38"/>
        <v>0.28000000000000003</v>
      </c>
    </row>
    <row r="624" spans="1:13" x14ac:dyDescent="0.25">
      <c r="A624" s="782"/>
      <c r="B624" s="107" t="s">
        <v>66</v>
      </c>
      <c r="C624" s="107"/>
      <c r="D624" s="63">
        <v>11</v>
      </c>
      <c r="E624" s="63">
        <v>11</v>
      </c>
      <c r="F624" s="63">
        <v>0.29399999999999998</v>
      </c>
      <c r="G624" s="63">
        <v>0.33600000000000002</v>
      </c>
      <c r="H624" s="63">
        <v>0.49299999999999999</v>
      </c>
      <c r="I624" s="63">
        <v>6.09</v>
      </c>
      <c r="J624" s="96">
        <v>0.13600000000000001</v>
      </c>
      <c r="K624" s="152"/>
      <c r="L624" s="114">
        <v>43.22</v>
      </c>
      <c r="M624" s="68">
        <f t="shared" si="38"/>
        <v>0.47541999999999995</v>
      </c>
    </row>
    <row r="625" spans="1:13" x14ac:dyDescent="0.25">
      <c r="A625" s="782"/>
      <c r="B625" s="116" t="s">
        <v>67</v>
      </c>
      <c r="C625" s="107"/>
      <c r="D625" s="63"/>
      <c r="E625" s="63"/>
      <c r="F625" s="63"/>
      <c r="G625" s="63"/>
      <c r="H625" s="63"/>
      <c r="I625" s="63"/>
      <c r="J625" s="96"/>
      <c r="K625" s="152"/>
      <c r="L625" s="114">
        <v>0</v>
      </c>
      <c r="M625" s="68">
        <f t="shared" si="38"/>
        <v>0</v>
      </c>
    </row>
    <row r="626" spans="1:13" x14ac:dyDescent="0.25">
      <c r="A626" s="782"/>
      <c r="B626" s="107" t="s">
        <v>32</v>
      </c>
      <c r="C626" s="107"/>
      <c r="D626" s="63">
        <v>31</v>
      </c>
      <c r="E626" s="63">
        <v>28</v>
      </c>
      <c r="F626" s="63">
        <v>0.35499999999999998</v>
      </c>
      <c r="G626" s="63">
        <v>0.05</v>
      </c>
      <c r="H626" s="63">
        <v>2.08</v>
      </c>
      <c r="I626" s="63">
        <v>10.4</v>
      </c>
      <c r="J626" s="96">
        <v>2.5369999999999999</v>
      </c>
      <c r="K626" s="152"/>
      <c r="L626" s="114">
        <v>21.98</v>
      </c>
      <c r="M626" s="68">
        <f t="shared" si="38"/>
        <v>0.68137999999999999</v>
      </c>
    </row>
    <row r="627" spans="1:13" x14ac:dyDescent="0.25">
      <c r="A627" s="782"/>
      <c r="B627" s="107" t="s">
        <v>37</v>
      </c>
      <c r="C627" s="107"/>
      <c r="D627" s="63">
        <v>4</v>
      </c>
      <c r="E627" s="63">
        <v>4</v>
      </c>
      <c r="F627" s="63">
        <v>0</v>
      </c>
      <c r="G627" s="63">
        <v>3.9260000000000002</v>
      </c>
      <c r="H627" s="63">
        <v>0</v>
      </c>
      <c r="I627" s="63">
        <v>35.33</v>
      </c>
      <c r="J627" s="96">
        <v>0</v>
      </c>
      <c r="K627" s="152"/>
      <c r="L627" s="114">
        <v>92.2</v>
      </c>
      <c r="M627" s="68">
        <f t="shared" si="38"/>
        <v>0.36880000000000002</v>
      </c>
    </row>
    <row r="628" spans="1:13" x14ac:dyDescent="0.25">
      <c r="A628" s="782"/>
      <c r="B628" s="107" t="s">
        <v>34</v>
      </c>
      <c r="C628" s="107"/>
      <c r="D628" s="195">
        <v>5</v>
      </c>
      <c r="E628" s="63" t="s">
        <v>190</v>
      </c>
      <c r="F628" s="63">
        <v>0.63</v>
      </c>
      <c r="G628" s="63">
        <v>0.56999999999999995</v>
      </c>
      <c r="H628" s="63">
        <v>0.04</v>
      </c>
      <c r="I628" s="63">
        <v>7.85</v>
      </c>
      <c r="J628" s="96">
        <v>0</v>
      </c>
      <c r="K628" s="152"/>
      <c r="L628" s="114">
        <v>4.6900000000000004</v>
      </c>
      <c r="M628" s="68">
        <f>SUM(L628*D628)/40</f>
        <v>0.58625000000000005</v>
      </c>
    </row>
    <row r="629" spans="1:13" x14ac:dyDescent="0.25">
      <c r="A629" s="782"/>
      <c r="B629" s="107" t="s">
        <v>68</v>
      </c>
      <c r="C629" s="107"/>
      <c r="D629" s="63">
        <v>6</v>
      </c>
      <c r="E629" s="63">
        <v>6</v>
      </c>
      <c r="F629" s="63">
        <v>0.72</v>
      </c>
      <c r="G629" s="63">
        <v>0.12</v>
      </c>
      <c r="H629" s="63">
        <v>3.66</v>
      </c>
      <c r="I629" s="63">
        <v>18.600000000000001</v>
      </c>
      <c r="J629" s="96">
        <v>0</v>
      </c>
      <c r="K629" s="152"/>
      <c r="L629" s="114">
        <v>60.5</v>
      </c>
      <c r="M629" s="68">
        <f>SUM(L629*D629)/1000</f>
        <v>0.36299999999999999</v>
      </c>
    </row>
    <row r="630" spans="1:13" x14ac:dyDescent="0.25">
      <c r="A630" s="782"/>
      <c r="B630" s="107" t="s">
        <v>37</v>
      </c>
      <c r="C630" s="107"/>
      <c r="D630" s="63">
        <v>4</v>
      </c>
      <c r="E630" s="63">
        <v>4</v>
      </c>
      <c r="F630" s="63">
        <v>0</v>
      </c>
      <c r="G630" s="63">
        <v>3.9260000000000002</v>
      </c>
      <c r="H630" s="63">
        <v>0</v>
      </c>
      <c r="I630" s="63">
        <v>35.33</v>
      </c>
      <c r="J630" s="96">
        <v>0</v>
      </c>
      <c r="K630" s="152"/>
      <c r="L630" s="114">
        <v>92.2</v>
      </c>
      <c r="M630" s="68">
        <f>SUM(L630*D630)/1000</f>
        <v>0.36880000000000002</v>
      </c>
    </row>
    <row r="631" spans="1:13" x14ac:dyDescent="0.25">
      <c r="A631" s="782"/>
      <c r="B631" s="107"/>
      <c r="C631" s="107"/>
      <c r="D631" s="63"/>
      <c r="E631" s="63"/>
      <c r="F631" s="118">
        <f>SUM(F622:F630)</f>
        <v>9.799000000000003</v>
      </c>
      <c r="G631" s="118">
        <f>SUM(G622:G630)</f>
        <v>15.033000000000001</v>
      </c>
      <c r="H631" s="118">
        <f>SUM(H622:H630)</f>
        <v>11.702999999999999</v>
      </c>
      <c r="I631" s="118">
        <f>SUM(I622:I630)</f>
        <v>222.03999999999996</v>
      </c>
      <c r="J631" s="119">
        <f>SUM(J622:J630)</f>
        <v>2.673</v>
      </c>
      <c r="K631" s="156"/>
      <c r="L631" s="79"/>
      <c r="M631" s="300">
        <f>SUM(M622:M630)</f>
        <v>22.26849</v>
      </c>
    </row>
    <row r="632" spans="1:13" x14ac:dyDescent="0.25">
      <c r="A632" s="782"/>
      <c r="B632" s="533" t="s">
        <v>69</v>
      </c>
      <c r="C632" s="140">
        <v>120</v>
      </c>
      <c r="D632" s="154"/>
      <c r="E632" s="154"/>
      <c r="F632" s="63"/>
      <c r="G632" s="63"/>
      <c r="H632" s="63"/>
      <c r="I632" s="63"/>
      <c r="J632" s="96"/>
      <c r="K632" s="155" t="s">
        <v>70</v>
      </c>
      <c r="L632" s="65"/>
      <c r="M632" s="64"/>
    </row>
    <row r="633" spans="1:13" x14ac:dyDescent="0.25">
      <c r="A633" s="782"/>
      <c r="B633" s="96" t="s">
        <v>71</v>
      </c>
      <c r="C633" s="96"/>
      <c r="D633" s="63">
        <v>58.3</v>
      </c>
      <c r="E633" s="63">
        <v>57</v>
      </c>
      <c r="F633" s="102">
        <v>16.422000000000001</v>
      </c>
      <c r="G633" s="63">
        <v>1.1424000000000001</v>
      </c>
      <c r="H633" s="63">
        <v>36.2712</v>
      </c>
      <c r="I633" s="63">
        <v>224.196</v>
      </c>
      <c r="J633" s="96">
        <v>0</v>
      </c>
      <c r="K633" s="152"/>
      <c r="L633" s="114">
        <v>39.630000000000003</v>
      </c>
      <c r="M633" s="68">
        <f>SUM(L633*D633)/1000</f>
        <v>2.3104290000000001</v>
      </c>
    </row>
    <row r="634" spans="1:13" x14ac:dyDescent="0.25">
      <c r="A634" s="782"/>
      <c r="B634" s="107" t="s">
        <v>21</v>
      </c>
      <c r="C634" s="117"/>
      <c r="D634" s="100">
        <v>5.7</v>
      </c>
      <c r="E634" s="100">
        <v>5.7</v>
      </c>
      <c r="F634" s="63">
        <v>5.6800000000000003E-2</v>
      </c>
      <c r="G634" s="63">
        <v>5.1475</v>
      </c>
      <c r="H634" s="63">
        <v>9.2299999999999993E-2</v>
      </c>
      <c r="I634" s="63">
        <v>46.930999999999997</v>
      </c>
      <c r="J634" s="96">
        <v>0</v>
      </c>
      <c r="K634" s="152"/>
      <c r="L634" s="114">
        <v>376.98</v>
      </c>
      <c r="M634" s="68">
        <f>SUM(L634*D634)/1000</f>
        <v>2.1487859999999999</v>
      </c>
    </row>
    <row r="635" spans="1:13" x14ac:dyDescent="0.25">
      <c r="A635" s="782"/>
      <c r="B635" s="116"/>
      <c r="C635" s="107"/>
      <c r="D635" s="63"/>
      <c r="E635" s="63"/>
      <c r="F635" s="127">
        <f>SUM(F633:F634)</f>
        <v>16.4788</v>
      </c>
      <c r="G635" s="127">
        <f>SUM(G633:G634)</f>
        <v>6.2899000000000003</v>
      </c>
      <c r="H635" s="127">
        <f>SUM(H633:H634)</f>
        <v>36.363500000000002</v>
      </c>
      <c r="I635" s="127">
        <f>SUM(I633:I634)</f>
        <v>271.12700000000001</v>
      </c>
      <c r="J635" s="119">
        <f>SUM(J633:J634)</f>
        <v>0</v>
      </c>
      <c r="K635" s="156"/>
      <c r="L635" s="65"/>
      <c r="M635" s="72">
        <f>SUM(M633:M634)</f>
        <v>4.4592150000000004</v>
      </c>
    </row>
    <row r="636" spans="1:13" x14ac:dyDescent="0.25">
      <c r="A636" s="782"/>
      <c r="B636" s="138" t="s">
        <v>180</v>
      </c>
      <c r="C636" s="124">
        <v>180</v>
      </c>
      <c r="D636" s="13"/>
      <c r="E636" s="13"/>
      <c r="F636" s="63"/>
      <c r="G636" s="63"/>
      <c r="H636" s="63"/>
      <c r="I636" s="63"/>
      <c r="J636" s="96"/>
      <c r="K636" s="108" t="s">
        <v>181</v>
      </c>
      <c r="L636" s="65"/>
      <c r="M636" s="64"/>
    </row>
    <row r="637" spans="1:13" ht="18" customHeight="1" x14ac:dyDescent="0.25">
      <c r="A637" s="782"/>
      <c r="B637" s="107" t="s">
        <v>182</v>
      </c>
      <c r="C637" s="107"/>
      <c r="D637" s="63">
        <v>18</v>
      </c>
      <c r="E637" s="63" t="s">
        <v>183</v>
      </c>
      <c r="F637" s="63">
        <v>0.93600000000000005</v>
      </c>
      <c r="G637" s="63">
        <v>5.3999999999999999E-2</v>
      </c>
      <c r="H637" s="63">
        <v>9.18</v>
      </c>
      <c r="I637" s="63">
        <v>41.76</v>
      </c>
      <c r="J637" s="96">
        <v>0.72</v>
      </c>
      <c r="K637" s="136"/>
      <c r="L637" s="114">
        <v>90</v>
      </c>
      <c r="M637" s="68">
        <f>SUM(L637*D637)/1000</f>
        <v>1.62</v>
      </c>
    </row>
    <row r="638" spans="1:13" x14ac:dyDescent="0.25">
      <c r="A638" s="782"/>
      <c r="B638" s="107" t="s">
        <v>38</v>
      </c>
      <c r="C638" s="107"/>
      <c r="D638" s="63">
        <v>14.4</v>
      </c>
      <c r="E638" s="63">
        <v>14.4</v>
      </c>
      <c r="F638" s="63">
        <v>0</v>
      </c>
      <c r="G638" s="63">
        <v>0</v>
      </c>
      <c r="H638" s="63">
        <v>14.371</v>
      </c>
      <c r="I638" s="63">
        <v>54.576000000000001</v>
      </c>
      <c r="J638" s="96">
        <v>0</v>
      </c>
      <c r="K638" s="136"/>
      <c r="L638" s="114">
        <v>50</v>
      </c>
      <c r="M638" s="68">
        <f>SUM(L638*D638)/1000</f>
        <v>0.72</v>
      </c>
    </row>
    <row r="639" spans="1:13" x14ac:dyDescent="0.25">
      <c r="A639" s="782"/>
      <c r="B639" s="107" t="s">
        <v>19</v>
      </c>
      <c r="C639" s="107"/>
      <c r="D639" s="63">
        <v>182.7</v>
      </c>
      <c r="E639" s="63">
        <v>182.7</v>
      </c>
      <c r="F639" s="63">
        <v>0</v>
      </c>
      <c r="G639" s="63">
        <v>0</v>
      </c>
      <c r="H639" s="63">
        <v>0</v>
      </c>
      <c r="I639" s="63">
        <v>0</v>
      </c>
      <c r="J639" s="96">
        <v>0</v>
      </c>
      <c r="K639" s="136"/>
      <c r="L639" s="114">
        <v>0</v>
      </c>
      <c r="M639" s="68">
        <f>SUM(L639*D639)/1000</f>
        <v>0</v>
      </c>
    </row>
    <row r="640" spans="1:13" x14ac:dyDescent="0.25">
      <c r="A640" s="782"/>
      <c r="B640" s="157"/>
      <c r="C640" s="157"/>
      <c r="D640" s="51"/>
      <c r="E640" s="51"/>
      <c r="F640" s="118">
        <f>SUM(F637:F639)</f>
        <v>0.93600000000000005</v>
      </c>
      <c r="G640" s="118">
        <f>SUM(G637:G639)</f>
        <v>5.3999999999999999E-2</v>
      </c>
      <c r="H640" s="118">
        <f>SUM(H637:H639)</f>
        <v>23.551000000000002</v>
      </c>
      <c r="I640" s="118">
        <f>SUM(I637:I639)</f>
        <v>96.335999999999999</v>
      </c>
      <c r="J640" s="118">
        <f>SUM(J637:J639)</f>
        <v>0.72</v>
      </c>
      <c r="K640" s="156"/>
      <c r="L640" s="114"/>
      <c r="M640" s="72">
        <f>SUM(M637:M639)</f>
        <v>2.34</v>
      </c>
    </row>
    <row r="641" spans="1:13" x14ac:dyDescent="0.25">
      <c r="A641" s="782"/>
      <c r="B641" s="109" t="s">
        <v>39</v>
      </c>
      <c r="C641" s="124">
        <v>40</v>
      </c>
      <c r="D641" s="63">
        <v>40</v>
      </c>
      <c r="E641" s="63">
        <v>40</v>
      </c>
      <c r="F641" s="118">
        <v>3.3</v>
      </c>
      <c r="G641" s="118">
        <v>0.6</v>
      </c>
      <c r="H641" s="118">
        <v>17.100000000000001</v>
      </c>
      <c r="I641" s="118">
        <v>90.5</v>
      </c>
      <c r="J641" s="139">
        <v>0</v>
      </c>
      <c r="K641" s="153" t="s">
        <v>73</v>
      </c>
      <c r="L641" s="114">
        <v>40</v>
      </c>
      <c r="M641" s="69">
        <f>SUM(L641*D641)/1000</f>
        <v>1.6</v>
      </c>
    </row>
    <row r="642" spans="1:13" x14ac:dyDescent="0.25">
      <c r="A642" s="782"/>
      <c r="B642" s="109" t="s">
        <v>40</v>
      </c>
      <c r="C642" s="124">
        <v>40</v>
      </c>
      <c r="D642" s="63">
        <v>40</v>
      </c>
      <c r="E642" s="63">
        <v>40</v>
      </c>
      <c r="F642" s="118">
        <v>3.85</v>
      </c>
      <c r="G642" s="118">
        <v>1.5</v>
      </c>
      <c r="H642" s="118">
        <v>24.9</v>
      </c>
      <c r="I642" s="118">
        <v>131</v>
      </c>
      <c r="J642" s="139">
        <v>0</v>
      </c>
      <c r="K642" s="153" t="s">
        <v>73</v>
      </c>
      <c r="L642" s="114">
        <v>35</v>
      </c>
      <c r="M642" s="72">
        <f>SUM(L642*D642)/1000</f>
        <v>1.4</v>
      </c>
    </row>
    <row r="643" spans="1:13" x14ac:dyDescent="0.25">
      <c r="A643" s="783"/>
      <c r="B643" s="124" t="s">
        <v>74</v>
      </c>
      <c r="C643" s="124"/>
      <c r="D643" s="63"/>
      <c r="E643" s="63"/>
      <c r="F643" s="265">
        <f>F620+F631+F635+F640+F642</f>
        <v>33.311800000000005</v>
      </c>
      <c r="G643" s="265">
        <f>G612+G631+G635+G640+G641+G642</f>
        <v>25.802900000000001</v>
      </c>
      <c r="H643" s="265">
        <f>H612+H620+H631+H635+H640+H641+H642</f>
        <v>146.74550000000002</v>
      </c>
      <c r="I643" s="265">
        <f>I620+I631+I635+I640+I641+I642</f>
        <v>905.59899999999993</v>
      </c>
      <c r="J643" s="143">
        <f>J612+J631+J635+J640+J641+J642</f>
        <v>16.593</v>
      </c>
      <c r="K643" s="234"/>
      <c r="L643" s="235"/>
      <c r="M643" s="36"/>
    </row>
    <row r="644" spans="1:13" x14ac:dyDescent="0.25">
      <c r="A644" s="5" t="s">
        <v>136</v>
      </c>
      <c r="B644" s="13"/>
      <c r="C644" s="4"/>
      <c r="D644" s="105"/>
      <c r="E644" s="106"/>
      <c r="F644" s="625"/>
      <c r="G644" s="51"/>
      <c r="H644" s="51"/>
      <c r="I644" s="51"/>
      <c r="J644" s="53"/>
      <c r="K644" s="126"/>
      <c r="L644" s="65"/>
      <c r="M644" s="64"/>
    </row>
    <row r="645" spans="1:13" ht="38.25" customHeight="1" x14ac:dyDescent="0.25">
      <c r="A645" s="781"/>
      <c r="B645" s="410" t="s">
        <v>294</v>
      </c>
      <c r="C645" s="339">
        <v>100</v>
      </c>
      <c r="D645" s="340"/>
      <c r="E645" s="340"/>
      <c r="F645" s="401">
        <f>F646+F647+F648+F649+F650</f>
        <v>14.882899999999999</v>
      </c>
      <c r="G645" s="401">
        <f>G646+G647+G648+G649+G650</f>
        <v>7.7965</v>
      </c>
      <c r="H645" s="401">
        <f>H646+H647+H648+H649+H650</f>
        <v>29.130000000000003</v>
      </c>
      <c r="I645" s="401">
        <f>I646+I647+I648+I649+I650</f>
        <v>242.62300000000005</v>
      </c>
      <c r="J645" s="401">
        <f>J646+J647+J648+J649+J650</f>
        <v>0.39</v>
      </c>
      <c r="K645" s="489" t="s">
        <v>295</v>
      </c>
      <c r="L645" s="65"/>
      <c r="M645" s="64"/>
    </row>
    <row r="646" spans="1:13" x14ac:dyDescent="0.25">
      <c r="A646" s="782"/>
      <c r="B646" s="404" t="s">
        <v>296</v>
      </c>
      <c r="C646" s="354"/>
      <c r="D646" s="340">
        <v>80</v>
      </c>
      <c r="E646" s="340">
        <v>78</v>
      </c>
      <c r="F646" s="340">
        <f>16.7*E646/100</f>
        <v>13.026</v>
      </c>
      <c r="G646" s="340">
        <f>9*E646/100</f>
        <v>7.02</v>
      </c>
      <c r="H646" s="340">
        <f>2*E646/100</f>
        <v>1.56</v>
      </c>
      <c r="I646" s="345">
        <f>155.3*E646/100</f>
        <v>121.13400000000001</v>
      </c>
      <c r="J646" s="346">
        <f>0.5*E646/100</f>
        <v>0.39</v>
      </c>
      <c r="K646" s="480"/>
      <c r="L646" s="185">
        <v>209.73</v>
      </c>
      <c r="M646" s="68">
        <f>SUM(L646*D646)/1000</f>
        <v>16.778399999999998</v>
      </c>
    </row>
    <row r="647" spans="1:13" x14ac:dyDescent="0.25">
      <c r="A647" s="782"/>
      <c r="B647" s="404" t="s">
        <v>247</v>
      </c>
      <c r="C647" s="354"/>
      <c r="D647" s="340">
        <v>11</v>
      </c>
      <c r="E647" s="340">
        <v>11</v>
      </c>
      <c r="F647" s="340">
        <f>10.3*E647/100</f>
        <v>1.133</v>
      </c>
      <c r="G647" s="340">
        <f>1.1*E647/100</f>
        <v>0.12100000000000001</v>
      </c>
      <c r="H647" s="340">
        <f>69*E647/100</f>
        <v>7.59</v>
      </c>
      <c r="I647" s="345">
        <f>334*E647/100</f>
        <v>36.74</v>
      </c>
      <c r="J647" s="346">
        <v>0</v>
      </c>
      <c r="K647" s="480"/>
      <c r="L647" s="185">
        <v>32.659999999999997</v>
      </c>
      <c r="M647" s="68">
        <f>SUM(L647*D647)/1000</f>
        <v>0.35925999999999997</v>
      </c>
    </row>
    <row r="648" spans="1:13" x14ac:dyDescent="0.25">
      <c r="A648" s="782"/>
      <c r="B648" s="404" t="s">
        <v>297</v>
      </c>
      <c r="C648" s="354"/>
      <c r="D648" s="340">
        <v>5.7</v>
      </c>
      <c r="E648" s="340">
        <v>5.7</v>
      </c>
      <c r="F648" s="340">
        <f>12.7*E648/100</f>
        <v>0.72389999999999999</v>
      </c>
      <c r="G648" s="340">
        <f>11.5*E648/100</f>
        <v>0.65549999999999997</v>
      </c>
      <c r="H648" s="340">
        <v>0</v>
      </c>
      <c r="I648" s="345">
        <f>157*E648/100</f>
        <v>8.9489999999999998</v>
      </c>
      <c r="J648" s="346">
        <v>0</v>
      </c>
      <c r="K648" s="480"/>
      <c r="L648" s="185">
        <v>50.7</v>
      </c>
      <c r="M648" s="68">
        <f>SUM(L648*D648)/1000</f>
        <v>0.28899000000000002</v>
      </c>
    </row>
    <row r="649" spans="1:13" x14ac:dyDescent="0.25">
      <c r="A649" s="782"/>
      <c r="B649" s="404" t="s">
        <v>230</v>
      </c>
      <c r="C649" s="354"/>
      <c r="D649" s="340">
        <v>5.7</v>
      </c>
      <c r="E649" s="340">
        <v>5.7</v>
      </c>
      <c r="F649" s="340">
        <v>0</v>
      </c>
      <c r="G649" s="340">
        <v>0</v>
      </c>
      <c r="H649" s="340">
        <v>19.98</v>
      </c>
      <c r="I649" s="345">
        <v>75.8</v>
      </c>
      <c r="J649" s="346">
        <v>0</v>
      </c>
      <c r="K649" s="480"/>
      <c r="L649" s="185">
        <v>4.6989999999999998</v>
      </c>
      <c r="M649" s="68">
        <f>SUM(L649*D649)/40</f>
        <v>0.66960749999999991</v>
      </c>
    </row>
    <row r="650" spans="1:13" x14ac:dyDescent="0.25">
      <c r="A650" s="782"/>
      <c r="B650" s="404" t="s">
        <v>231</v>
      </c>
      <c r="C650" s="354"/>
      <c r="D650" s="340">
        <v>0.76</v>
      </c>
      <c r="E650" s="340">
        <v>0.76</v>
      </c>
      <c r="F650" s="340">
        <v>0</v>
      </c>
      <c r="G650" s="340">
        <v>0</v>
      </c>
      <c r="H650" s="340">
        <v>0</v>
      </c>
      <c r="I650" s="345">
        <v>0</v>
      </c>
      <c r="J650" s="346">
        <v>0</v>
      </c>
      <c r="K650" s="480"/>
      <c r="L650" s="185">
        <v>376.98</v>
      </c>
      <c r="M650" s="68">
        <f t="shared" ref="M650:M655" si="39">SUM(L650*D650)/1000</f>
        <v>0.2865048</v>
      </c>
    </row>
    <row r="651" spans="1:13" x14ac:dyDescent="0.25">
      <c r="A651" s="782"/>
      <c r="B651" s="389" t="s">
        <v>221</v>
      </c>
      <c r="C651" s="339">
        <v>25</v>
      </c>
      <c r="D651" s="340"/>
      <c r="E651" s="340"/>
      <c r="F651" s="401">
        <f>F652+F653+F654+F655+F656+F657</f>
        <v>0.47209999999999996</v>
      </c>
      <c r="G651" s="401">
        <f>G652+G653+G654+G655+G656+G657</f>
        <v>1.2096</v>
      </c>
      <c r="H651" s="401">
        <f>H652+H653+H654+H655+H656+H657</f>
        <v>21.340800000000002</v>
      </c>
      <c r="I651" s="401">
        <f>I652+I653+I654+I655+I656+I657</f>
        <v>93.995000000000005</v>
      </c>
      <c r="J651" s="401">
        <f>J652+J653+J654+J655+J656+J657</f>
        <v>0.16250000000000001</v>
      </c>
      <c r="K651" s="483" t="s">
        <v>298</v>
      </c>
      <c r="L651" s="185">
        <v>2500</v>
      </c>
      <c r="M651" s="68">
        <f t="shared" si="39"/>
        <v>0</v>
      </c>
    </row>
    <row r="652" spans="1:13" x14ac:dyDescent="0.25">
      <c r="A652" s="782"/>
      <c r="B652" s="406" t="s">
        <v>228</v>
      </c>
      <c r="C652" s="354"/>
      <c r="D652" s="340">
        <v>12.5</v>
      </c>
      <c r="E652" s="340">
        <v>12.5</v>
      </c>
      <c r="F652" s="340">
        <f>2.8*E652/100</f>
        <v>0.35</v>
      </c>
      <c r="G652" s="340">
        <f>3.2*E652/100</f>
        <v>0.4</v>
      </c>
      <c r="H652" s="340">
        <f>4.7*E652/100</f>
        <v>0.58750000000000002</v>
      </c>
      <c r="I652" s="345">
        <f>58*E652/100</f>
        <v>7.25</v>
      </c>
      <c r="J652" s="346">
        <f>1.3*E652/100</f>
        <v>0.16250000000000001</v>
      </c>
      <c r="K652" s="483"/>
      <c r="L652" s="185">
        <v>60.5</v>
      </c>
      <c r="M652" s="68">
        <f t="shared" si="39"/>
        <v>0.75624999999999998</v>
      </c>
    </row>
    <row r="653" spans="1:13" x14ac:dyDescent="0.25">
      <c r="A653" s="782"/>
      <c r="B653" s="406" t="s">
        <v>288</v>
      </c>
      <c r="C653" s="354"/>
      <c r="D653" s="340">
        <v>1.1000000000000001</v>
      </c>
      <c r="E653" s="340">
        <v>1.1000000000000001</v>
      </c>
      <c r="F653" s="340">
        <f>0.8*E653/100</f>
        <v>8.8000000000000005E-3</v>
      </c>
      <c r="G653" s="340">
        <f>72.5*E653/100</f>
        <v>0.79749999999999999</v>
      </c>
      <c r="H653" s="340">
        <f>1.3*E653/100</f>
        <v>1.4300000000000002E-2</v>
      </c>
      <c r="I653" s="345">
        <f>661*E653/100</f>
        <v>7.2709999999999999</v>
      </c>
      <c r="J653" s="346">
        <v>0</v>
      </c>
      <c r="K653" s="483"/>
      <c r="L653" s="185">
        <v>153</v>
      </c>
      <c r="M653" s="68">
        <f t="shared" si="39"/>
        <v>0.16830000000000001</v>
      </c>
    </row>
    <row r="654" spans="1:13" x14ac:dyDescent="0.25">
      <c r="A654" s="782"/>
      <c r="B654" s="406" t="s">
        <v>291</v>
      </c>
      <c r="C654" s="354"/>
      <c r="D654" s="340">
        <v>1.1000000000000001</v>
      </c>
      <c r="E654" s="340">
        <v>1.1000000000000001</v>
      </c>
      <c r="F654" s="340">
        <f>10.3*E654/100</f>
        <v>0.11330000000000001</v>
      </c>
      <c r="G654" s="340">
        <f>1.1*E654/100</f>
        <v>1.2100000000000001E-2</v>
      </c>
      <c r="H654" s="340">
        <f>69*E654/100</f>
        <v>0.75900000000000001</v>
      </c>
      <c r="I654" s="345">
        <f>334*E654/100</f>
        <v>3.6740000000000004</v>
      </c>
      <c r="J654" s="346">
        <v>0</v>
      </c>
      <c r="K654" s="483"/>
      <c r="L654" s="185">
        <v>16.62</v>
      </c>
      <c r="M654" s="68">
        <f t="shared" si="39"/>
        <v>1.8282000000000003E-2</v>
      </c>
    </row>
    <row r="655" spans="1:13" x14ac:dyDescent="0.25">
      <c r="A655" s="782"/>
      <c r="B655" s="406" t="s">
        <v>229</v>
      </c>
      <c r="C655" s="354"/>
      <c r="D655" s="340">
        <v>12.5</v>
      </c>
      <c r="E655" s="340">
        <v>12.5</v>
      </c>
      <c r="F655" s="340">
        <v>0</v>
      </c>
      <c r="G655" s="340">
        <v>0</v>
      </c>
      <c r="H655" s="340">
        <v>0</v>
      </c>
      <c r="I655" s="345">
        <v>0</v>
      </c>
      <c r="J655" s="346">
        <v>0</v>
      </c>
      <c r="K655" s="483"/>
      <c r="L655" s="185"/>
      <c r="M655" s="68">
        <f t="shared" si="39"/>
        <v>0</v>
      </c>
    </row>
    <row r="656" spans="1:13" x14ac:dyDescent="0.25">
      <c r="A656" s="782"/>
      <c r="B656" s="406" t="s">
        <v>299</v>
      </c>
      <c r="C656" s="354"/>
      <c r="D656" s="340">
        <v>2</v>
      </c>
      <c r="E656" s="340">
        <v>2</v>
      </c>
      <c r="F656" s="340">
        <v>0</v>
      </c>
      <c r="G656" s="340">
        <v>0</v>
      </c>
      <c r="H656" s="340">
        <v>19.98</v>
      </c>
      <c r="I656" s="345">
        <v>75.8</v>
      </c>
      <c r="J656" s="346">
        <v>0</v>
      </c>
      <c r="K656" s="483"/>
      <c r="L656" s="185">
        <v>76.989999999999995</v>
      </c>
      <c r="M656" s="68">
        <f>SUM(L656*D656)/400</f>
        <v>0.38494999999999996</v>
      </c>
    </row>
    <row r="657" spans="1:13" x14ac:dyDescent="0.25">
      <c r="A657" s="782"/>
      <c r="B657" s="406" t="s">
        <v>300</v>
      </c>
      <c r="C657" s="354"/>
      <c r="D657" s="340">
        <v>1E-3</v>
      </c>
      <c r="E657" s="340">
        <v>1E-3</v>
      </c>
      <c r="F657" s="340">
        <v>0</v>
      </c>
      <c r="G657" s="340">
        <v>0</v>
      </c>
      <c r="H657" s="340">
        <v>0</v>
      </c>
      <c r="I657" s="345">
        <v>0</v>
      </c>
      <c r="J657" s="346">
        <v>0</v>
      </c>
      <c r="K657" s="483"/>
      <c r="L657" s="65"/>
      <c r="M657" s="72">
        <f>SUM(M646:M656)</f>
        <v>19.710544299999995</v>
      </c>
    </row>
    <row r="658" spans="1:13" x14ac:dyDescent="0.25">
      <c r="A658" s="782"/>
      <c r="B658" s="362" t="s">
        <v>56</v>
      </c>
      <c r="C658" s="363">
        <v>180</v>
      </c>
      <c r="D658" s="352"/>
      <c r="E658" s="352"/>
      <c r="F658" s="401">
        <f>F659+F660+F661+F662</f>
        <v>3.25</v>
      </c>
      <c r="G658" s="401">
        <f>G659+G660+G661+G662</f>
        <v>3.3080000000000003</v>
      </c>
      <c r="H658" s="401">
        <f>H659+H660+H661+H662</f>
        <v>14.89</v>
      </c>
      <c r="I658" s="401">
        <f>I659+I660+I661+I662</f>
        <v>99.460999999999999</v>
      </c>
      <c r="J658" s="401">
        <f>J659+J660+J661+J662</f>
        <v>1.3</v>
      </c>
      <c r="K658" s="484" t="s">
        <v>249</v>
      </c>
      <c r="L658" s="65"/>
      <c r="M658" s="64"/>
    </row>
    <row r="659" spans="1:13" x14ac:dyDescent="0.25">
      <c r="A659" s="782"/>
      <c r="B659" s="353" t="s">
        <v>250</v>
      </c>
      <c r="C659" s="343"/>
      <c r="D659" s="340">
        <v>3</v>
      </c>
      <c r="E659" s="340">
        <v>3</v>
      </c>
      <c r="F659" s="340">
        <f>15*E659/100</f>
        <v>0.45</v>
      </c>
      <c r="G659" s="340">
        <f>3.6*E659/100</f>
        <v>0.10800000000000001</v>
      </c>
      <c r="H659" s="340">
        <f>7*E659/100</f>
        <v>0.21</v>
      </c>
      <c r="I659" s="345">
        <f>118.7*E659/100</f>
        <v>3.5610000000000004</v>
      </c>
      <c r="J659" s="346">
        <v>0</v>
      </c>
      <c r="K659" s="480"/>
      <c r="L659" s="114"/>
      <c r="M659" s="68"/>
    </row>
    <row r="660" spans="1:13" x14ac:dyDescent="0.25">
      <c r="A660" s="782"/>
      <c r="B660" s="353" t="s">
        <v>229</v>
      </c>
      <c r="C660" s="343"/>
      <c r="D660" s="340">
        <v>108</v>
      </c>
      <c r="E660" s="340">
        <v>108</v>
      </c>
      <c r="F660" s="340">
        <v>0</v>
      </c>
      <c r="G660" s="340">
        <v>0</v>
      </c>
      <c r="H660" s="340">
        <v>0</v>
      </c>
      <c r="I660" s="345">
        <v>0</v>
      </c>
      <c r="J660" s="346">
        <v>0</v>
      </c>
      <c r="K660" s="480"/>
      <c r="L660" s="114">
        <v>0</v>
      </c>
      <c r="M660" s="68">
        <f>SUM(L660*D660)/1000</f>
        <v>0</v>
      </c>
    </row>
    <row r="661" spans="1:13" x14ac:dyDescent="0.25">
      <c r="A661" s="782"/>
      <c r="B661" s="353" t="s">
        <v>230</v>
      </c>
      <c r="C661" s="343"/>
      <c r="D661" s="340">
        <v>10</v>
      </c>
      <c r="E661" s="340">
        <v>10</v>
      </c>
      <c r="F661" s="340">
        <v>0</v>
      </c>
      <c r="G661" s="340">
        <v>0</v>
      </c>
      <c r="H661" s="340">
        <f>99.8*E661/100</f>
        <v>9.98</v>
      </c>
      <c r="I661" s="345">
        <f>379*E661/100</f>
        <v>37.9</v>
      </c>
      <c r="J661" s="346">
        <v>0</v>
      </c>
      <c r="K661" s="480"/>
      <c r="L661" s="114">
        <v>400</v>
      </c>
      <c r="M661" s="68">
        <f>SUM(L661*D661)/1000</f>
        <v>4</v>
      </c>
    </row>
    <row r="662" spans="1:13" x14ac:dyDescent="0.25">
      <c r="A662" s="782"/>
      <c r="B662" s="353" t="s">
        <v>228</v>
      </c>
      <c r="C662" s="343"/>
      <c r="D662" s="340">
        <v>90</v>
      </c>
      <c r="E662" s="340">
        <v>90</v>
      </c>
      <c r="F662" s="340">
        <v>2.8</v>
      </c>
      <c r="G662" s="340">
        <v>3.2</v>
      </c>
      <c r="H662" s="340">
        <v>4.7</v>
      </c>
      <c r="I662" s="345">
        <v>58</v>
      </c>
      <c r="J662" s="346">
        <v>1.3</v>
      </c>
      <c r="K662" s="480"/>
      <c r="L662" s="114">
        <v>50.7</v>
      </c>
      <c r="M662" s="68">
        <f>SUM(L662*D662)/1000</f>
        <v>4.5629999999999997</v>
      </c>
    </row>
    <row r="663" spans="1:13" x14ac:dyDescent="0.25">
      <c r="A663" s="783"/>
      <c r="B663" s="124"/>
      <c r="C663" s="124"/>
      <c r="D663" s="51"/>
      <c r="E663" s="51"/>
      <c r="F663" s="118">
        <f>SUM(F659:F662)</f>
        <v>3.25</v>
      </c>
      <c r="G663" s="118">
        <f>SUM(G659:G662)</f>
        <v>3.3080000000000003</v>
      </c>
      <c r="H663" s="118">
        <f>SUM(H659:H662)</f>
        <v>14.89</v>
      </c>
      <c r="I663" s="118">
        <f>SUM(I659:I662)</f>
        <v>99.460999999999999</v>
      </c>
      <c r="J663" s="119">
        <f>SUM(J659:J662)</f>
        <v>1.3</v>
      </c>
      <c r="K663" s="44"/>
      <c r="L663" s="240"/>
      <c r="M663" s="241"/>
    </row>
    <row r="664" spans="1:13" x14ac:dyDescent="0.25">
      <c r="A664" s="5"/>
      <c r="B664" s="124" t="s">
        <v>50</v>
      </c>
      <c r="C664" s="124"/>
      <c r="D664" s="13"/>
      <c r="E664" s="13"/>
      <c r="F664" s="282">
        <f>F645+F651+F658</f>
        <v>18.604999999999997</v>
      </c>
      <c r="G664" s="282">
        <f>G645+G651+G658</f>
        <v>12.3141</v>
      </c>
      <c r="H664" s="282">
        <f>H645+H651+H658</f>
        <v>65.360800000000012</v>
      </c>
      <c r="I664" s="282">
        <f>I645+I651+I658</f>
        <v>436.07900000000006</v>
      </c>
      <c r="J664" s="283">
        <f>J645+J651+J658</f>
        <v>1.8525</v>
      </c>
      <c r="K664" s="234"/>
      <c r="L664" s="235"/>
      <c r="M664" s="36"/>
    </row>
    <row r="665" spans="1:13" x14ac:dyDescent="0.25">
      <c r="A665" s="535" t="s">
        <v>148</v>
      </c>
      <c r="B665" s="146"/>
      <c r="C665" s="22"/>
      <c r="D665" s="23"/>
      <c r="E665" s="23"/>
      <c r="F665" s="275">
        <f>F610+F643+F664</f>
        <v>53.791800000000002</v>
      </c>
      <c r="G665" s="275">
        <f>G610+G643+G664</f>
        <v>41.067</v>
      </c>
      <c r="H665" s="275">
        <f>H610+H643+H664</f>
        <v>230.83130000000003</v>
      </c>
      <c r="I665" s="275">
        <f>I610+I643+I664</f>
        <v>1445.953</v>
      </c>
      <c r="J665" s="326">
        <f>J610+J643+J664</f>
        <v>18.445499999999999</v>
      </c>
      <c r="K665" s="30"/>
      <c r="L665" s="32"/>
      <c r="M665" s="33"/>
    </row>
    <row r="666" spans="1:13" x14ac:dyDescent="0.25">
      <c r="A666" s="13" t="s">
        <v>149</v>
      </c>
      <c r="B666" s="13"/>
      <c r="C666" s="13"/>
      <c r="D666" s="51"/>
      <c r="E666" s="51"/>
      <c r="F666" s="242"/>
      <c r="G666" s="242"/>
      <c r="H666" s="242"/>
      <c r="I666" s="242"/>
      <c r="J666" s="243"/>
      <c r="K666" s="244"/>
      <c r="L666" s="65"/>
      <c r="M666" s="64"/>
    </row>
    <row r="667" spans="1:13" x14ac:dyDescent="0.25">
      <c r="A667" s="5" t="s">
        <v>140</v>
      </c>
      <c r="B667" s="13"/>
      <c r="C667" s="4"/>
      <c r="D667" s="105"/>
      <c r="E667" s="106"/>
      <c r="F667" s="51"/>
      <c r="G667" s="51"/>
      <c r="H667" s="51"/>
      <c r="I667" s="51"/>
      <c r="J667" s="53"/>
      <c r="K667" s="174"/>
      <c r="L667" s="65"/>
      <c r="M667" s="64"/>
    </row>
    <row r="668" spans="1:13" ht="29.25" x14ac:dyDescent="0.25">
      <c r="A668" s="781"/>
      <c r="B668" s="373" t="s">
        <v>253</v>
      </c>
      <c r="C668" s="339">
        <v>200</v>
      </c>
      <c r="D668" s="340"/>
      <c r="E668" s="340"/>
      <c r="F668" s="401">
        <f>F669+F670+F671+F672+F673</f>
        <v>8.5204000000000004</v>
      </c>
      <c r="G668" s="401">
        <f>G669+G670+G671+G672+G673</f>
        <v>5.5196000000000005</v>
      </c>
      <c r="H668" s="401">
        <f>H669+H670+H671+H672+H673</f>
        <v>44.833100000000002</v>
      </c>
      <c r="I668" s="401">
        <f>I669+I670+I671+I672+I673</f>
        <v>261.464</v>
      </c>
      <c r="J668" s="401">
        <f>J669+J670+J671+J672+J673</f>
        <v>1.7329000000000001</v>
      </c>
      <c r="K668" s="479" t="s">
        <v>255</v>
      </c>
      <c r="L668" s="112"/>
      <c r="M668" s="108"/>
    </row>
    <row r="669" spans="1:13" x14ac:dyDescent="0.25">
      <c r="A669" s="782"/>
      <c r="B669" s="374" t="s">
        <v>254</v>
      </c>
      <c r="C669" s="343"/>
      <c r="D669" s="340">
        <v>38</v>
      </c>
      <c r="E669" s="357">
        <v>38</v>
      </c>
      <c r="F669" s="340">
        <f>12.6*E669/100</f>
        <v>4.7880000000000003</v>
      </c>
      <c r="G669" s="340">
        <f>3.3*E669/100</f>
        <v>1.254</v>
      </c>
      <c r="H669" s="340">
        <f>62.1*E669/100</f>
        <v>23.598000000000003</v>
      </c>
      <c r="I669" s="345">
        <f>335*E669/100</f>
        <v>127.3</v>
      </c>
      <c r="J669" s="346">
        <v>0</v>
      </c>
      <c r="K669" s="480"/>
      <c r="L669" s="112">
        <v>65.069999999999993</v>
      </c>
      <c r="M669" s="108">
        <f>SUM(L669*D669)/1000</f>
        <v>2.4726599999999999</v>
      </c>
    </row>
    <row r="670" spans="1:13" x14ac:dyDescent="0.25">
      <c r="A670" s="782"/>
      <c r="B670" s="374" t="s">
        <v>228</v>
      </c>
      <c r="C670" s="343"/>
      <c r="D670" s="340">
        <v>133.30000000000001</v>
      </c>
      <c r="E670" s="357">
        <v>133.30000000000001</v>
      </c>
      <c r="F670" s="340">
        <f>2.8*E670/100</f>
        <v>3.7324000000000002</v>
      </c>
      <c r="G670" s="340">
        <f>3.2*E670/100</f>
        <v>4.2656000000000009</v>
      </c>
      <c r="H670" s="340">
        <f>4.7*E670/100</f>
        <v>6.2651000000000012</v>
      </c>
      <c r="I670" s="345">
        <f>58*E670/100</f>
        <v>77.314000000000007</v>
      </c>
      <c r="J670" s="346">
        <f>1.3*E670/100</f>
        <v>1.7329000000000001</v>
      </c>
      <c r="K670" s="480"/>
      <c r="L670" s="112">
        <v>376.98</v>
      </c>
      <c r="M670" s="108">
        <f>SUM(L670*D670)/1000</f>
        <v>50.25143400000001</v>
      </c>
    </row>
    <row r="671" spans="1:13" x14ac:dyDescent="0.25">
      <c r="A671" s="782"/>
      <c r="B671" s="374" t="s">
        <v>229</v>
      </c>
      <c r="C671" s="343"/>
      <c r="D671" s="340">
        <v>28.6</v>
      </c>
      <c r="E671" s="357">
        <v>28.6</v>
      </c>
      <c r="F671" s="340">
        <v>0</v>
      </c>
      <c r="G671" s="340">
        <v>0</v>
      </c>
      <c r="H671" s="340">
        <v>0</v>
      </c>
      <c r="I671" s="345">
        <v>0</v>
      </c>
      <c r="J671" s="346">
        <v>0</v>
      </c>
      <c r="K671" s="480"/>
      <c r="L671" s="112">
        <v>50.7</v>
      </c>
      <c r="M671" s="108">
        <f>SUM(L671*D671)/1000</f>
        <v>1.4500200000000003</v>
      </c>
    </row>
    <row r="672" spans="1:13" x14ac:dyDescent="0.25">
      <c r="A672" s="782"/>
      <c r="B672" s="353" t="s">
        <v>230</v>
      </c>
      <c r="C672" s="363"/>
      <c r="D672" s="340">
        <v>15</v>
      </c>
      <c r="E672" s="340">
        <v>15</v>
      </c>
      <c r="F672" s="340">
        <v>0</v>
      </c>
      <c r="G672" s="340">
        <v>0</v>
      </c>
      <c r="H672" s="340">
        <f>99.8*E672/100</f>
        <v>14.97</v>
      </c>
      <c r="I672" s="345">
        <f>379*E672/100</f>
        <v>56.85</v>
      </c>
      <c r="J672" s="346">
        <v>0</v>
      </c>
      <c r="K672" s="480"/>
      <c r="L672" s="112">
        <v>16.62</v>
      </c>
      <c r="M672" s="108">
        <f>SUM(L672*D672)/1000</f>
        <v>0.24930000000000002</v>
      </c>
    </row>
    <row r="673" spans="1:13" x14ac:dyDescent="0.25">
      <c r="A673" s="782"/>
      <c r="B673" s="342" t="s">
        <v>231</v>
      </c>
      <c r="C673" s="363"/>
      <c r="D673" s="340">
        <v>0.3</v>
      </c>
      <c r="E673" s="340">
        <v>0.3</v>
      </c>
      <c r="F673" s="340">
        <v>0</v>
      </c>
      <c r="G673" s="340">
        <v>0</v>
      </c>
      <c r="H673" s="340">
        <v>0</v>
      </c>
      <c r="I673" s="345">
        <v>0</v>
      </c>
      <c r="J673" s="346">
        <v>0</v>
      </c>
      <c r="K673" s="480"/>
      <c r="L673" s="185"/>
      <c r="M673" s="72">
        <f>SUM(M669:M672)</f>
        <v>54.423414000000008</v>
      </c>
    </row>
    <row r="674" spans="1:13" x14ac:dyDescent="0.25">
      <c r="A674" s="782"/>
      <c r="B674" s="533" t="s">
        <v>23</v>
      </c>
      <c r="C674" s="105">
        <v>40</v>
      </c>
      <c r="D674" s="13"/>
      <c r="E674" s="123"/>
      <c r="F674" s="110"/>
      <c r="G674" s="110"/>
      <c r="H674" s="110"/>
      <c r="I674" s="110"/>
      <c r="J674" s="97"/>
      <c r="K674" s="112" t="s">
        <v>24</v>
      </c>
      <c r="L674" s="185"/>
      <c r="M674" s="68"/>
    </row>
    <row r="675" spans="1:13" x14ac:dyDescent="0.25">
      <c r="A675" s="782"/>
      <c r="B675" s="107" t="s">
        <v>21</v>
      </c>
      <c r="C675" s="194"/>
      <c r="D675" s="63">
        <v>10</v>
      </c>
      <c r="E675" s="63">
        <v>10</v>
      </c>
      <c r="F675" s="63">
        <v>0.08</v>
      </c>
      <c r="G675" s="63">
        <v>7.25</v>
      </c>
      <c r="H675" s="63">
        <v>0.13</v>
      </c>
      <c r="I675" s="63">
        <v>66.099999999999994</v>
      </c>
      <c r="J675" s="231">
        <v>0</v>
      </c>
      <c r="K675" s="112"/>
      <c r="L675" s="185">
        <v>50</v>
      </c>
      <c r="M675" s="68">
        <f>SUM(L675*D675)/1000</f>
        <v>0.5</v>
      </c>
    </row>
    <row r="676" spans="1:13" x14ac:dyDescent="0.25">
      <c r="A676" s="782"/>
      <c r="B676" s="107" t="s">
        <v>106</v>
      </c>
      <c r="C676" s="194"/>
      <c r="D676" s="63">
        <v>30</v>
      </c>
      <c r="E676" s="63">
        <v>30</v>
      </c>
      <c r="F676" s="63">
        <v>2.31</v>
      </c>
      <c r="G676" s="63">
        <v>0.9</v>
      </c>
      <c r="H676" s="63">
        <v>14.94</v>
      </c>
      <c r="I676" s="63">
        <v>78.599999999999994</v>
      </c>
      <c r="J676" s="231">
        <v>0</v>
      </c>
      <c r="K676" s="112"/>
      <c r="L676" s="185">
        <v>110</v>
      </c>
      <c r="M676" s="68">
        <f>SUM(L676*D676)/1000</f>
        <v>3.3</v>
      </c>
    </row>
    <row r="677" spans="1:13" x14ac:dyDescent="0.25">
      <c r="A677" s="782"/>
      <c r="B677" s="107"/>
      <c r="C677" s="107"/>
      <c r="D677" s="63"/>
      <c r="E677" s="63"/>
      <c r="F677" s="118">
        <f>SUM(F675:F676)</f>
        <v>2.39</v>
      </c>
      <c r="G677" s="118">
        <f t="shared" ref="G677:J677" si="40">SUM(G675:G676)</f>
        <v>8.15</v>
      </c>
      <c r="H677" s="118">
        <f t="shared" si="40"/>
        <v>15.07</v>
      </c>
      <c r="I677" s="118">
        <f t="shared" si="40"/>
        <v>144.69999999999999</v>
      </c>
      <c r="J677" s="118">
        <f t="shared" si="40"/>
        <v>0</v>
      </c>
      <c r="K677" s="153"/>
      <c r="L677" s="185"/>
      <c r="M677" s="72">
        <f>SUM(M675:M676)</f>
        <v>3.8</v>
      </c>
    </row>
    <row r="678" spans="1:13" x14ac:dyDescent="0.25">
      <c r="A678" s="782"/>
      <c r="B678" s="533" t="s">
        <v>384</v>
      </c>
      <c r="C678" s="105" t="s">
        <v>187</v>
      </c>
      <c r="D678" s="13"/>
      <c r="E678" s="13"/>
      <c r="F678" s="13"/>
      <c r="G678" s="13"/>
      <c r="H678" s="13"/>
      <c r="I678" s="13"/>
      <c r="J678" s="96"/>
      <c r="K678" s="125" t="s">
        <v>188</v>
      </c>
      <c r="L678" s="65"/>
      <c r="M678" s="68"/>
    </row>
    <row r="679" spans="1:13" x14ac:dyDescent="0.25">
      <c r="A679" s="782"/>
      <c r="B679" s="533" t="s">
        <v>184</v>
      </c>
      <c r="C679" s="124"/>
      <c r="D679" s="13">
        <v>30</v>
      </c>
      <c r="E679" s="13">
        <v>30</v>
      </c>
      <c r="F679" s="13"/>
      <c r="G679" s="13"/>
      <c r="H679" s="13"/>
      <c r="I679" s="13"/>
      <c r="J679" s="96"/>
      <c r="K679" s="125"/>
      <c r="L679" s="88"/>
      <c r="M679" s="68"/>
    </row>
    <row r="680" spans="1:13" x14ac:dyDescent="0.25">
      <c r="A680" s="782"/>
      <c r="B680" s="107" t="s">
        <v>141</v>
      </c>
      <c r="C680" s="124"/>
      <c r="D680" s="63">
        <v>92</v>
      </c>
      <c r="E680" s="63">
        <v>92</v>
      </c>
      <c r="F680" s="63">
        <v>0</v>
      </c>
      <c r="G680" s="63">
        <v>2.34</v>
      </c>
      <c r="H680" s="63">
        <v>14.31</v>
      </c>
      <c r="I680" s="63">
        <v>8.9</v>
      </c>
      <c r="J680" s="96">
        <v>1.2</v>
      </c>
      <c r="K680" s="125"/>
      <c r="L680" s="88"/>
      <c r="M680" s="68"/>
    </row>
    <row r="681" spans="1:13" x14ac:dyDescent="0.25">
      <c r="A681" s="782"/>
      <c r="B681" s="107" t="s">
        <v>185</v>
      </c>
      <c r="C681" s="107"/>
      <c r="D681" s="63">
        <v>0.3</v>
      </c>
      <c r="E681" s="63">
        <v>0.3</v>
      </c>
      <c r="F681" s="63">
        <v>2.67</v>
      </c>
      <c r="G681" s="63">
        <v>0</v>
      </c>
      <c r="H681" s="63">
        <v>2.07E-2</v>
      </c>
      <c r="I681" s="63">
        <v>0.45540000000000003</v>
      </c>
      <c r="J681" s="96">
        <v>0.03</v>
      </c>
      <c r="K681" s="126"/>
      <c r="L681" s="114">
        <v>400</v>
      </c>
      <c r="M681" s="68">
        <f>SUM(L681*D681)/1000</f>
        <v>0.12</v>
      </c>
    </row>
    <row r="682" spans="1:13" x14ac:dyDescent="0.25">
      <c r="A682" s="782"/>
      <c r="B682" s="107" t="s">
        <v>49</v>
      </c>
      <c r="C682" s="107"/>
      <c r="D682" s="63">
        <v>10</v>
      </c>
      <c r="E682" s="63">
        <v>10</v>
      </c>
      <c r="F682" s="63">
        <v>0</v>
      </c>
      <c r="G682" s="63">
        <v>0</v>
      </c>
      <c r="H682" s="63">
        <v>9.98</v>
      </c>
      <c r="I682" s="63">
        <v>37.9</v>
      </c>
      <c r="J682" s="96">
        <v>0</v>
      </c>
      <c r="K682" s="126"/>
      <c r="L682" s="114">
        <v>50.7</v>
      </c>
      <c r="M682" s="68">
        <f>SUM(L682*D682)/1000</f>
        <v>0.50700000000000001</v>
      </c>
    </row>
    <row r="683" spans="1:13" x14ac:dyDescent="0.25">
      <c r="A683" s="782"/>
      <c r="B683" s="107" t="s">
        <v>19</v>
      </c>
      <c r="C683" s="107"/>
      <c r="D683" s="63">
        <v>60</v>
      </c>
      <c r="E683" s="63">
        <v>60</v>
      </c>
      <c r="F683" s="63">
        <v>0</v>
      </c>
      <c r="G683" s="63">
        <v>0</v>
      </c>
      <c r="H683" s="63">
        <v>0</v>
      </c>
      <c r="I683" s="63">
        <v>0</v>
      </c>
      <c r="J683" s="96">
        <v>0</v>
      </c>
      <c r="K683" s="126"/>
      <c r="L683" s="114">
        <v>0</v>
      </c>
      <c r="M683" s="68">
        <f>SUM(L683*D683)/1000</f>
        <v>0</v>
      </c>
    </row>
    <row r="684" spans="1:13" x14ac:dyDescent="0.25">
      <c r="A684" s="782"/>
      <c r="B684" s="107"/>
      <c r="C684" s="107"/>
      <c r="D684" s="63"/>
      <c r="E684" s="63"/>
      <c r="F684" s="274">
        <f>SUM(F679:F683)</f>
        <v>2.67</v>
      </c>
      <c r="G684" s="274">
        <f>SUM(G679:G683)</f>
        <v>2.34</v>
      </c>
      <c r="H684" s="274">
        <f>SUM(H679:H683)</f>
        <v>24.310700000000001</v>
      </c>
      <c r="I684" s="274">
        <f>SUM(I679:I683)</f>
        <v>47.255399999999995</v>
      </c>
      <c r="J684" s="274">
        <f>SUM(J679:J683)</f>
        <v>1.23</v>
      </c>
      <c r="K684" s="153"/>
      <c r="L684" s="185"/>
      <c r="M684" s="72">
        <f>SUM(M679:M683)</f>
        <v>0.627</v>
      </c>
    </row>
    <row r="685" spans="1:13" x14ac:dyDescent="0.25">
      <c r="A685" s="782"/>
      <c r="B685" s="384" t="s">
        <v>267</v>
      </c>
      <c r="C685" s="390">
        <v>180</v>
      </c>
      <c r="D685" s="391"/>
      <c r="E685" s="340"/>
      <c r="F685" s="412">
        <v>0</v>
      </c>
      <c r="G685" s="412">
        <v>0</v>
      </c>
      <c r="H685" s="412">
        <v>19.98</v>
      </c>
      <c r="I685" s="413">
        <v>104</v>
      </c>
      <c r="J685" s="414">
        <v>0.24</v>
      </c>
      <c r="K685" s="485" t="s">
        <v>268</v>
      </c>
      <c r="L685" s="79">
        <v>60.94</v>
      </c>
      <c r="M685" s="315">
        <f>SUM(D685*L685)/1000</f>
        <v>0</v>
      </c>
    </row>
    <row r="686" spans="1:13" x14ac:dyDescent="0.25">
      <c r="A686" s="782"/>
      <c r="B686" s="382" t="s">
        <v>269</v>
      </c>
      <c r="C686" s="343"/>
      <c r="D686" s="340">
        <v>18</v>
      </c>
      <c r="E686" s="340">
        <v>18</v>
      </c>
      <c r="F686" s="340">
        <v>0</v>
      </c>
      <c r="G686" s="340">
        <v>0</v>
      </c>
      <c r="H686" s="340">
        <v>0</v>
      </c>
      <c r="I686" s="345">
        <v>28.2</v>
      </c>
      <c r="J686" s="346">
        <v>0.04</v>
      </c>
      <c r="K686" s="480"/>
      <c r="L686" s="79"/>
      <c r="M686" s="315"/>
    </row>
    <row r="687" spans="1:13" x14ac:dyDescent="0.25">
      <c r="A687" s="782"/>
      <c r="B687" s="382" t="s">
        <v>230</v>
      </c>
      <c r="C687" s="343"/>
      <c r="D687" s="340">
        <v>10</v>
      </c>
      <c r="E687" s="340">
        <v>10</v>
      </c>
      <c r="F687" s="340">
        <v>0</v>
      </c>
      <c r="G687" s="340">
        <v>0</v>
      </c>
      <c r="H687" s="340">
        <v>19.98</v>
      </c>
      <c r="I687" s="345">
        <v>75.8</v>
      </c>
      <c r="J687" s="346">
        <v>0</v>
      </c>
      <c r="K687" s="480"/>
      <c r="L687" s="79"/>
      <c r="M687" s="315"/>
    </row>
    <row r="688" spans="1:13" x14ac:dyDescent="0.25">
      <c r="A688" s="782"/>
      <c r="B688" s="382" t="s">
        <v>229</v>
      </c>
      <c r="C688" s="343"/>
      <c r="D688" s="340">
        <v>180</v>
      </c>
      <c r="E688" s="340">
        <v>180</v>
      </c>
      <c r="F688" s="340">
        <v>0</v>
      </c>
      <c r="G688" s="340">
        <v>0</v>
      </c>
      <c r="H688" s="340">
        <v>0</v>
      </c>
      <c r="I688" s="345">
        <v>0</v>
      </c>
      <c r="J688" s="346">
        <v>0</v>
      </c>
      <c r="K688" s="480"/>
      <c r="L688" s="79"/>
      <c r="M688" s="315"/>
    </row>
    <row r="689" spans="1:13" x14ac:dyDescent="0.25">
      <c r="A689" s="782"/>
      <c r="B689" s="138" t="s">
        <v>57</v>
      </c>
      <c r="C689" s="150"/>
      <c r="D689" s="63"/>
      <c r="E689" s="63"/>
      <c r="F689" s="314">
        <f>SUM(F670,F676,F683,F684:F685)</f>
        <v>8.7124000000000006</v>
      </c>
      <c r="G689" s="314">
        <f t="shared" ref="G689:J689" si="41">SUM(G670,G676,G683,G684:G685)</f>
        <v>7.5056000000000012</v>
      </c>
      <c r="H689" s="314">
        <f t="shared" si="41"/>
        <v>65.495800000000003</v>
      </c>
      <c r="I689" s="314">
        <f t="shared" si="41"/>
        <v>307.1694</v>
      </c>
      <c r="J689" s="314">
        <f t="shared" si="41"/>
        <v>3.2029000000000005</v>
      </c>
      <c r="K689" s="245"/>
      <c r="L689" s="246"/>
      <c r="M689" s="314">
        <f>SUM(M670,M676,M683,M684:M685)</f>
        <v>54.17843400000001</v>
      </c>
    </row>
    <row r="690" spans="1:13" x14ac:dyDescent="0.25">
      <c r="A690" s="5" t="s">
        <v>150</v>
      </c>
      <c r="B690" s="13"/>
      <c r="C690" s="4"/>
      <c r="D690" s="105"/>
      <c r="E690" s="106"/>
      <c r="F690" s="51"/>
      <c r="G690" s="51"/>
      <c r="H690" s="51"/>
      <c r="I690" s="51"/>
      <c r="J690" s="53"/>
      <c r="K690" s="126"/>
      <c r="L690" s="65"/>
      <c r="M690" s="64"/>
    </row>
    <row r="691" spans="1:13" ht="30" x14ac:dyDescent="0.25">
      <c r="A691" s="801"/>
      <c r="B691" s="534" t="s">
        <v>156</v>
      </c>
      <c r="C691" s="140">
        <v>200</v>
      </c>
      <c r="D691" s="154"/>
      <c r="E691" s="154"/>
      <c r="F691" s="63"/>
      <c r="G691" s="63"/>
      <c r="H691" s="63"/>
      <c r="I691" s="63"/>
      <c r="J691" s="96"/>
      <c r="K691" s="125" t="s">
        <v>157</v>
      </c>
      <c r="L691" s="65"/>
      <c r="M691" s="64"/>
    </row>
    <row r="692" spans="1:13" x14ac:dyDescent="0.25">
      <c r="A692" s="802"/>
      <c r="B692" s="96" t="s">
        <v>158</v>
      </c>
      <c r="C692" s="96"/>
      <c r="D692" s="63">
        <v>34</v>
      </c>
      <c r="E692" s="63">
        <v>27.3</v>
      </c>
      <c r="F692" s="102">
        <v>0.48</v>
      </c>
      <c r="G692" s="63">
        <v>3.2000000000000001E-2</v>
      </c>
      <c r="H692" s="63">
        <v>2.8159999999999998</v>
      </c>
      <c r="I692" s="63">
        <v>13.44</v>
      </c>
      <c r="J692" s="96">
        <v>3.2</v>
      </c>
      <c r="K692" s="126"/>
      <c r="L692" s="114">
        <v>25.38</v>
      </c>
      <c r="M692" s="68">
        <f t="shared" ref="M692:M703" si="42">SUM(L692*D692)/1000</f>
        <v>0.86291999999999991</v>
      </c>
    </row>
    <row r="693" spans="1:13" x14ac:dyDescent="0.25">
      <c r="A693" s="802"/>
      <c r="B693" s="96" t="s">
        <v>159</v>
      </c>
      <c r="C693" s="96"/>
      <c r="D693" s="63">
        <v>17.3</v>
      </c>
      <c r="E693" s="63">
        <v>14</v>
      </c>
      <c r="F693" s="59">
        <v>0.28799999999999998</v>
      </c>
      <c r="G693" s="51">
        <v>1.6E-2</v>
      </c>
      <c r="H693" s="51">
        <v>0.752</v>
      </c>
      <c r="I693" s="51">
        <v>4.4800000000000004</v>
      </c>
      <c r="J693" s="53">
        <v>7.2</v>
      </c>
      <c r="K693" s="126"/>
      <c r="L693" s="114">
        <v>20.7</v>
      </c>
      <c r="M693" s="68">
        <f t="shared" si="42"/>
        <v>0.35811000000000004</v>
      </c>
    </row>
    <row r="694" spans="1:13" x14ac:dyDescent="0.25">
      <c r="A694" s="802"/>
      <c r="B694" s="96" t="s">
        <v>36</v>
      </c>
      <c r="C694" s="96"/>
      <c r="D694" s="63">
        <v>31.3</v>
      </c>
      <c r="E694" s="63">
        <v>23.3</v>
      </c>
      <c r="F694" s="102">
        <v>0.31</v>
      </c>
      <c r="G694" s="63">
        <v>6.4000000000000001E-2</v>
      </c>
      <c r="H694" s="63">
        <v>2.6080000000000001</v>
      </c>
      <c r="I694" s="63">
        <v>12.32</v>
      </c>
      <c r="J694" s="96">
        <v>3.2</v>
      </c>
      <c r="K694" s="126"/>
      <c r="L694" s="114">
        <v>21.89</v>
      </c>
      <c r="M694" s="68">
        <f t="shared" si="42"/>
        <v>0.68515700000000002</v>
      </c>
    </row>
    <row r="695" spans="1:13" x14ac:dyDescent="0.25">
      <c r="A695" s="802"/>
      <c r="B695" s="96" t="s">
        <v>59</v>
      </c>
      <c r="C695" s="96"/>
      <c r="D695" s="63">
        <v>13.3</v>
      </c>
      <c r="E695" s="63">
        <v>10</v>
      </c>
      <c r="F695" s="63">
        <v>0.104</v>
      </c>
      <c r="G695" s="63">
        <v>8.0000000000000002E-3</v>
      </c>
      <c r="H695" s="63">
        <v>0.55200000000000005</v>
      </c>
      <c r="I695" s="63">
        <v>2.8</v>
      </c>
      <c r="J695" s="96">
        <v>0.4</v>
      </c>
      <c r="K695" s="126"/>
      <c r="L695" s="114">
        <v>38.5</v>
      </c>
      <c r="M695" s="68">
        <f t="shared" si="42"/>
        <v>0.51205000000000012</v>
      </c>
    </row>
    <row r="696" spans="1:13" x14ac:dyDescent="0.25">
      <c r="A696" s="802"/>
      <c r="B696" s="96" t="s">
        <v>32</v>
      </c>
      <c r="C696" s="96"/>
      <c r="D696" s="63">
        <v>10</v>
      </c>
      <c r="E696" s="63">
        <v>8</v>
      </c>
      <c r="F696" s="63">
        <v>0.112</v>
      </c>
      <c r="G696" s="63">
        <v>1.6E-2</v>
      </c>
      <c r="H696" s="63">
        <v>0.65600000000000003</v>
      </c>
      <c r="I696" s="63">
        <v>0.28000000000000003</v>
      </c>
      <c r="J696" s="96">
        <v>0.8</v>
      </c>
      <c r="K696" s="126"/>
      <c r="L696" s="114">
        <v>21.98</v>
      </c>
      <c r="M696" s="68">
        <f t="shared" si="42"/>
        <v>0.21980000000000002</v>
      </c>
    </row>
    <row r="697" spans="1:13" x14ac:dyDescent="0.25">
      <c r="A697" s="802"/>
      <c r="B697" s="96" t="s">
        <v>60</v>
      </c>
      <c r="C697" s="96"/>
      <c r="D697" s="63">
        <v>2.7</v>
      </c>
      <c r="E697" s="63">
        <v>2.7</v>
      </c>
      <c r="F697" s="102">
        <v>0.28799999999999998</v>
      </c>
      <c r="G697" s="63">
        <v>0</v>
      </c>
      <c r="H697" s="63">
        <v>1.1399999999999999</v>
      </c>
      <c r="I697" s="63">
        <v>6.12</v>
      </c>
      <c r="J697" s="96">
        <v>2.7</v>
      </c>
      <c r="K697" s="126"/>
      <c r="L697" s="114">
        <v>120</v>
      </c>
      <c r="M697" s="68">
        <f t="shared" si="42"/>
        <v>0.32400000000000001</v>
      </c>
    </row>
    <row r="698" spans="1:13" x14ac:dyDescent="0.25">
      <c r="A698" s="802"/>
      <c r="B698" s="96" t="s">
        <v>37</v>
      </c>
      <c r="C698" s="96"/>
      <c r="D698" s="63">
        <v>4</v>
      </c>
      <c r="E698" s="63">
        <v>4</v>
      </c>
      <c r="F698" s="102">
        <v>0</v>
      </c>
      <c r="G698" s="63">
        <v>3.996</v>
      </c>
      <c r="H698" s="63">
        <v>0</v>
      </c>
      <c r="I698" s="63">
        <v>35.96</v>
      </c>
      <c r="J698" s="96">
        <v>0</v>
      </c>
      <c r="K698" s="126"/>
      <c r="L698" s="114">
        <v>92.2</v>
      </c>
      <c r="M698" s="68">
        <f t="shared" si="42"/>
        <v>0.36880000000000002</v>
      </c>
    </row>
    <row r="699" spans="1:13" x14ac:dyDescent="0.25">
      <c r="A699" s="802"/>
      <c r="B699" s="96" t="s">
        <v>49</v>
      </c>
      <c r="C699" s="96"/>
      <c r="D699" s="63">
        <v>2</v>
      </c>
      <c r="E699" s="63">
        <v>2</v>
      </c>
      <c r="F699" s="102">
        <v>0</v>
      </c>
      <c r="G699" s="63">
        <v>0</v>
      </c>
      <c r="H699" s="63">
        <v>1.996</v>
      </c>
      <c r="I699" s="63">
        <v>7.58</v>
      </c>
      <c r="J699" s="96">
        <v>0</v>
      </c>
      <c r="K699" s="126"/>
      <c r="L699" s="114">
        <v>50.7</v>
      </c>
      <c r="M699" s="68">
        <f t="shared" si="42"/>
        <v>0.1014</v>
      </c>
    </row>
    <row r="700" spans="1:13" x14ac:dyDescent="0.25">
      <c r="A700" s="802"/>
      <c r="B700" s="96" t="s">
        <v>19</v>
      </c>
      <c r="C700" s="96"/>
      <c r="D700" s="63">
        <v>160</v>
      </c>
      <c r="E700" s="63">
        <v>160</v>
      </c>
      <c r="F700" s="102">
        <v>0</v>
      </c>
      <c r="G700" s="63">
        <v>0</v>
      </c>
      <c r="H700" s="63">
        <v>0</v>
      </c>
      <c r="I700" s="63">
        <v>0</v>
      </c>
      <c r="J700" s="96">
        <v>0</v>
      </c>
      <c r="K700" s="126"/>
      <c r="L700" s="114">
        <v>0</v>
      </c>
      <c r="M700" s="68">
        <f t="shared" si="42"/>
        <v>0</v>
      </c>
    </row>
    <row r="701" spans="1:13" x14ac:dyDescent="0.25">
      <c r="A701" s="802"/>
      <c r="B701" s="96" t="s">
        <v>61</v>
      </c>
      <c r="C701" s="96"/>
      <c r="D701" s="63">
        <v>7.0000000000000001E-3</v>
      </c>
      <c r="E701" s="63">
        <v>7.0000000000000001E-3</v>
      </c>
      <c r="F701" s="102">
        <v>0</v>
      </c>
      <c r="G701" s="63">
        <v>0</v>
      </c>
      <c r="H701" s="63">
        <v>0</v>
      </c>
      <c r="I701" s="63">
        <v>0</v>
      </c>
      <c r="J701" s="96">
        <v>0</v>
      </c>
      <c r="K701" s="126"/>
      <c r="L701" s="114">
        <v>550</v>
      </c>
      <c r="M701" s="68">
        <f t="shared" si="42"/>
        <v>3.8500000000000001E-3</v>
      </c>
    </row>
    <row r="702" spans="1:13" x14ac:dyDescent="0.25">
      <c r="A702" s="802"/>
      <c r="B702" s="96" t="s">
        <v>112</v>
      </c>
      <c r="C702" s="96"/>
      <c r="D702" s="63">
        <v>1.2</v>
      </c>
      <c r="E702" s="63">
        <v>1.2</v>
      </c>
      <c r="F702" s="102">
        <v>0</v>
      </c>
      <c r="G702" s="63">
        <v>0</v>
      </c>
      <c r="H702" s="63">
        <v>0</v>
      </c>
      <c r="I702" s="63">
        <v>0</v>
      </c>
      <c r="J702" s="96">
        <v>0</v>
      </c>
      <c r="K702" s="126"/>
      <c r="L702" s="114">
        <v>16.62</v>
      </c>
      <c r="M702" s="68">
        <f t="shared" si="42"/>
        <v>1.9944E-2</v>
      </c>
    </row>
    <row r="703" spans="1:13" x14ac:dyDescent="0.25">
      <c r="A703" s="802"/>
      <c r="B703" s="96" t="s">
        <v>62</v>
      </c>
      <c r="C703" s="96"/>
      <c r="D703" s="63">
        <v>4</v>
      </c>
      <c r="E703" s="63">
        <v>4</v>
      </c>
      <c r="F703" s="63">
        <v>0.1</v>
      </c>
      <c r="G703" s="63">
        <v>0.6</v>
      </c>
      <c r="H703" s="63">
        <v>0.13600000000000001</v>
      </c>
      <c r="I703" s="63">
        <v>8.24</v>
      </c>
      <c r="J703" s="96">
        <v>1.2E-2</v>
      </c>
      <c r="K703" s="126"/>
      <c r="L703" s="114">
        <v>153</v>
      </c>
      <c r="M703" s="68">
        <f t="shared" si="42"/>
        <v>0.61199999999999999</v>
      </c>
    </row>
    <row r="704" spans="1:13" x14ac:dyDescent="0.25">
      <c r="A704" s="802"/>
      <c r="B704" s="117"/>
      <c r="C704" s="117"/>
      <c r="D704" s="100"/>
      <c r="E704" s="100"/>
      <c r="F704" s="118">
        <f>SUM(F692:F703)</f>
        <v>1.6820000000000004</v>
      </c>
      <c r="G704" s="118">
        <f>SUM(G692:G703)</f>
        <v>4.7319999999999993</v>
      </c>
      <c r="H704" s="118">
        <f>SUM(H692:H703)</f>
        <v>10.655999999999999</v>
      </c>
      <c r="I704" s="118">
        <f>SUM(I692:I703)</f>
        <v>91.22</v>
      </c>
      <c r="J704" s="119">
        <f>SUM(J692:J703)</f>
        <v>17.512000000000004</v>
      </c>
      <c r="K704" s="156"/>
      <c r="L704" s="65"/>
      <c r="M704" s="72">
        <f>SUM(M692:M703)</f>
        <v>4.0680309999999995</v>
      </c>
    </row>
    <row r="705" spans="1:13" x14ac:dyDescent="0.25">
      <c r="A705" s="802"/>
      <c r="B705" s="533" t="s">
        <v>331</v>
      </c>
      <c r="C705" s="124" t="s">
        <v>333</v>
      </c>
      <c r="D705" s="13"/>
      <c r="E705" s="13"/>
      <c r="F705" s="63"/>
      <c r="G705" s="63"/>
      <c r="H705" s="63"/>
      <c r="I705" s="63"/>
      <c r="J705" s="96"/>
      <c r="K705" s="125" t="s">
        <v>332</v>
      </c>
      <c r="L705" s="65"/>
      <c r="M705" s="64"/>
    </row>
    <row r="706" spans="1:13" x14ac:dyDescent="0.25">
      <c r="A706" s="802"/>
      <c r="B706" s="107" t="s">
        <v>274</v>
      </c>
      <c r="C706" s="107"/>
      <c r="D706" s="141">
        <v>130</v>
      </c>
      <c r="E706" s="141">
        <v>57</v>
      </c>
      <c r="F706" s="63">
        <v>10.66</v>
      </c>
      <c r="G706" s="63">
        <v>9.18</v>
      </c>
      <c r="H706" s="63">
        <v>0</v>
      </c>
      <c r="I706" s="63">
        <v>125.4</v>
      </c>
      <c r="J706" s="96">
        <v>1.1399999999999999</v>
      </c>
      <c r="K706" s="126"/>
      <c r="L706" s="114">
        <v>222.66</v>
      </c>
      <c r="M706" s="68">
        <f>SUM(L706*D706)/1000</f>
        <v>28.945799999999998</v>
      </c>
    </row>
    <row r="707" spans="1:13" x14ac:dyDescent="0.25">
      <c r="A707" s="802"/>
      <c r="B707" s="107" t="s">
        <v>18</v>
      </c>
      <c r="C707" s="96"/>
      <c r="D707" s="270">
        <v>5</v>
      </c>
      <c r="E707" s="270">
        <v>5</v>
      </c>
      <c r="F707" s="102">
        <v>0.35</v>
      </c>
      <c r="G707" s="63">
        <v>0.05</v>
      </c>
      <c r="H707" s="63">
        <v>3.57</v>
      </c>
      <c r="I707" s="63">
        <v>16.5</v>
      </c>
      <c r="J707" s="96">
        <v>0</v>
      </c>
      <c r="K707" s="152"/>
      <c r="L707" s="114">
        <v>376.98</v>
      </c>
      <c r="M707" s="68">
        <f>SUM(L707*D707)/1000</f>
        <v>1.8849</v>
      </c>
    </row>
    <row r="708" spans="1:13" x14ac:dyDescent="0.25">
      <c r="A708" s="802"/>
      <c r="B708" s="116" t="s">
        <v>334</v>
      </c>
      <c r="C708" s="201"/>
      <c r="D708" s="329"/>
      <c r="E708" s="329">
        <v>22.5</v>
      </c>
      <c r="F708" s="102"/>
      <c r="G708" s="63"/>
      <c r="H708" s="63"/>
      <c r="I708" s="63"/>
      <c r="J708" s="96"/>
      <c r="K708" s="152"/>
      <c r="L708" s="114">
        <v>0</v>
      </c>
      <c r="M708" s="68">
        <f>SUM(L708*D708)/1000</f>
        <v>0</v>
      </c>
    </row>
    <row r="709" spans="1:13" x14ac:dyDescent="0.25">
      <c r="A709" s="802"/>
      <c r="B709" s="107" t="s">
        <v>141</v>
      </c>
      <c r="C709" s="96"/>
      <c r="D709" s="270">
        <v>6</v>
      </c>
      <c r="E709" s="270">
        <v>6</v>
      </c>
      <c r="F709" s="102">
        <v>0.16800000000000001</v>
      </c>
      <c r="G709" s="63">
        <v>0.192</v>
      </c>
      <c r="H709" s="63">
        <v>0.28199999999999997</v>
      </c>
      <c r="I709" s="63">
        <v>3.48</v>
      </c>
      <c r="J709" s="96">
        <v>7.0000000000000007E-2</v>
      </c>
      <c r="K709" s="152"/>
      <c r="L709" s="114"/>
      <c r="M709" s="68"/>
    </row>
    <row r="710" spans="1:13" x14ac:dyDescent="0.25">
      <c r="A710" s="802"/>
      <c r="B710" s="107" t="s">
        <v>21</v>
      </c>
      <c r="C710" s="96"/>
      <c r="D710" s="270">
        <v>2</v>
      </c>
      <c r="E710" s="270">
        <v>2</v>
      </c>
      <c r="F710" s="102">
        <v>1.6E-2</v>
      </c>
      <c r="G710" s="63">
        <v>1.45</v>
      </c>
      <c r="H710" s="63">
        <v>2.5999999999999999E-2</v>
      </c>
      <c r="I710" s="63">
        <v>13.22</v>
      </c>
      <c r="J710" s="96">
        <v>0</v>
      </c>
      <c r="K710" s="152"/>
      <c r="L710" s="114"/>
      <c r="M710" s="68"/>
    </row>
    <row r="711" spans="1:13" x14ac:dyDescent="0.25">
      <c r="A711" s="802"/>
      <c r="B711" s="107" t="s">
        <v>112</v>
      </c>
      <c r="C711" s="96"/>
      <c r="D711" s="270">
        <v>0.6</v>
      </c>
      <c r="E711" s="270">
        <v>0.6</v>
      </c>
      <c r="F711" s="102"/>
      <c r="G711" s="63"/>
      <c r="H711" s="63"/>
      <c r="I711" s="63"/>
      <c r="J711" s="96"/>
      <c r="K711" s="152"/>
      <c r="L711" s="114"/>
      <c r="M711" s="68"/>
    </row>
    <row r="712" spans="1:13" x14ac:dyDescent="0.25">
      <c r="A712" s="802"/>
      <c r="B712" s="107" t="s">
        <v>189</v>
      </c>
      <c r="C712" s="96"/>
      <c r="D712" s="270"/>
      <c r="E712" s="270">
        <v>80</v>
      </c>
      <c r="F712" s="102"/>
      <c r="G712" s="63"/>
      <c r="H712" s="63"/>
      <c r="I712" s="63"/>
      <c r="J712" s="96"/>
      <c r="K712" s="152"/>
      <c r="L712" s="114"/>
      <c r="M712" s="68"/>
    </row>
    <row r="713" spans="1:13" x14ac:dyDescent="0.25">
      <c r="A713" s="802"/>
      <c r="B713" s="107" t="s">
        <v>335</v>
      </c>
      <c r="C713" s="96"/>
      <c r="D713" s="270">
        <v>5</v>
      </c>
      <c r="E713" s="270">
        <v>5</v>
      </c>
      <c r="F713" s="102">
        <v>0.04</v>
      </c>
      <c r="G713" s="63">
        <v>3.63</v>
      </c>
      <c r="H713" s="63">
        <v>6.5000000000000002E-2</v>
      </c>
      <c r="I713" s="63">
        <v>33.049999999999997</v>
      </c>
      <c r="J713" s="96">
        <v>0</v>
      </c>
      <c r="K713" s="152"/>
      <c r="L713" s="114"/>
      <c r="M713" s="68"/>
    </row>
    <row r="714" spans="1:13" x14ac:dyDescent="0.25">
      <c r="A714" s="802"/>
      <c r="B714" s="533" t="s">
        <v>327</v>
      </c>
      <c r="C714" s="96"/>
      <c r="D714" s="451">
        <v>50</v>
      </c>
      <c r="E714" s="451">
        <v>50</v>
      </c>
      <c r="F714" s="449">
        <v>3.06</v>
      </c>
      <c r="G714" s="289">
        <v>0.61199999999999999</v>
      </c>
      <c r="H714" s="289">
        <v>24.939</v>
      </c>
      <c r="I714" s="289">
        <v>117.81</v>
      </c>
      <c r="J714" s="450">
        <v>30.6</v>
      </c>
      <c r="K714" s="155" t="s">
        <v>328</v>
      </c>
      <c r="L714" s="114">
        <v>21.89</v>
      </c>
      <c r="M714" s="68">
        <f t="shared" ref="M714:M719" si="43">SUM(L714*D714)/1000</f>
        <v>1.0945</v>
      </c>
    </row>
    <row r="715" spans="1:13" x14ac:dyDescent="0.25">
      <c r="A715" s="802"/>
      <c r="B715" s="107" t="s">
        <v>32</v>
      </c>
      <c r="C715" s="107"/>
      <c r="D715" s="100">
        <v>12</v>
      </c>
      <c r="E715" s="100">
        <v>10</v>
      </c>
      <c r="F715" s="102">
        <v>0.154</v>
      </c>
      <c r="G715" s="63">
        <v>2.1999999999999999E-2</v>
      </c>
      <c r="H715" s="63">
        <v>0.90200000000000002</v>
      </c>
      <c r="I715" s="63">
        <v>4.51</v>
      </c>
      <c r="J715" s="96">
        <v>1.1000000000000001</v>
      </c>
      <c r="K715" s="152"/>
      <c r="L715" s="114">
        <v>21.98</v>
      </c>
      <c r="M715" s="68">
        <f t="shared" si="43"/>
        <v>0.26375999999999999</v>
      </c>
    </row>
    <row r="716" spans="1:13" x14ac:dyDescent="0.25">
      <c r="A716" s="802"/>
      <c r="B716" s="107" t="s">
        <v>21</v>
      </c>
      <c r="C716" s="107"/>
      <c r="D716" s="100">
        <v>1</v>
      </c>
      <c r="E716" s="100">
        <v>1</v>
      </c>
      <c r="F716" s="102">
        <v>1.6E-2</v>
      </c>
      <c r="G716" s="63">
        <v>1.45</v>
      </c>
      <c r="H716" s="63">
        <v>2.5999999999999999E-2</v>
      </c>
      <c r="I716" s="63">
        <v>13.22</v>
      </c>
      <c r="J716" s="96">
        <v>0</v>
      </c>
      <c r="K716" s="152"/>
      <c r="L716" s="114">
        <v>376.98</v>
      </c>
      <c r="M716" s="68">
        <f t="shared" si="43"/>
        <v>0.37698000000000004</v>
      </c>
    </row>
    <row r="717" spans="1:13" x14ac:dyDescent="0.25">
      <c r="A717" s="802"/>
      <c r="B717" s="116" t="s">
        <v>329</v>
      </c>
      <c r="C717" s="116"/>
      <c r="D717" s="330"/>
      <c r="E717" s="330">
        <v>46</v>
      </c>
      <c r="F717" s="102"/>
      <c r="G717" s="63"/>
      <c r="H717" s="63"/>
      <c r="I717" s="63"/>
      <c r="J717" s="96"/>
      <c r="K717" s="155" t="s">
        <v>328</v>
      </c>
      <c r="L717" s="114">
        <v>0</v>
      </c>
      <c r="M717" s="68">
        <f t="shared" si="43"/>
        <v>0</v>
      </c>
    </row>
    <row r="718" spans="1:13" x14ac:dyDescent="0.25">
      <c r="A718" s="802"/>
      <c r="B718" s="107" t="s">
        <v>152</v>
      </c>
      <c r="C718" s="107"/>
      <c r="D718" s="100">
        <v>11.5</v>
      </c>
      <c r="E718" s="100">
        <v>11.5</v>
      </c>
      <c r="F718" s="102">
        <v>1.6E-2</v>
      </c>
      <c r="G718" s="63">
        <v>1.45</v>
      </c>
      <c r="H718" s="63">
        <v>2.5999999999999999E-2</v>
      </c>
      <c r="I718" s="63">
        <v>13.22</v>
      </c>
      <c r="J718" s="96">
        <v>0</v>
      </c>
      <c r="K718" s="152"/>
      <c r="L718" s="114">
        <v>376.98</v>
      </c>
      <c r="M718" s="68">
        <f t="shared" si="43"/>
        <v>4.3352700000000004</v>
      </c>
    </row>
    <row r="719" spans="1:13" x14ac:dyDescent="0.25">
      <c r="A719" s="802"/>
      <c r="B719" s="107" t="s">
        <v>112</v>
      </c>
      <c r="C719" s="107"/>
      <c r="D719" s="100">
        <v>0.4</v>
      </c>
      <c r="E719" s="100">
        <v>0.4</v>
      </c>
      <c r="F719" s="102">
        <v>0</v>
      </c>
      <c r="G719" s="63">
        <v>0</v>
      </c>
      <c r="H719" s="63">
        <v>0</v>
      </c>
      <c r="I719" s="63">
        <v>0</v>
      </c>
      <c r="J719" s="96">
        <v>0</v>
      </c>
      <c r="K719" s="152"/>
      <c r="L719" s="114">
        <v>16.62</v>
      </c>
      <c r="M719" s="68">
        <f t="shared" si="43"/>
        <v>6.6480000000000003E-3</v>
      </c>
    </row>
    <row r="720" spans="1:13" x14ac:dyDescent="0.25">
      <c r="A720" s="802"/>
      <c r="B720" s="107" t="s">
        <v>33</v>
      </c>
      <c r="C720" s="194"/>
      <c r="D720" s="63">
        <v>3.5</v>
      </c>
      <c r="E720" s="195">
        <v>3.5</v>
      </c>
      <c r="F720" s="285">
        <v>0.23100000000000001</v>
      </c>
      <c r="G720" s="286">
        <v>2.4E-2</v>
      </c>
      <c r="H720" s="286">
        <v>1.552</v>
      </c>
      <c r="I720" s="286">
        <v>7.5149999999999997</v>
      </c>
      <c r="J720" s="269">
        <v>0</v>
      </c>
      <c r="K720" s="152"/>
      <c r="L720" s="114"/>
      <c r="M720" s="68"/>
    </row>
    <row r="721" spans="1:13" x14ac:dyDescent="0.25">
      <c r="A721" s="802"/>
      <c r="B721" s="107" t="s">
        <v>120</v>
      </c>
      <c r="C721" s="107"/>
      <c r="D721" s="100">
        <v>34.5</v>
      </c>
      <c r="E721" s="100">
        <v>34.5</v>
      </c>
      <c r="F721" s="102">
        <v>0</v>
      </c>
      <c r="G721" s="63">
        <v>0</v>
      </c>
      <c r="H721" s="63">
        <v>0</v>
      </c>
      <c r="I721" s="63">
        <v>0</v>
      </c>
      <c r="J721" s="96">
        <v>0</v>
      </c>
      <c r="K721" s="152"/>
      <c r="L721" s="114">
        <v>60.5</v>
      </c>
      <c r="M721" s="68">
        <f>SUM(L721*D721)/1000</f>
        <v>2.08725</v>
      </c>
    </row>
    <row r="722" spans="1:13" ht="30" x14ac:dyDescent="0.25">
      <c r="A722" s="802"/>
      <c r="B722" s="533" t="s">
        <v>143</v>
      </c>
      <c r="C722" s="124">
        <v>120</v>
      </c>
      <c r="D722" s="13"/>
      <c r="E722" s="13"/>
      <c r="F722" s="63"/>
      <c r="G722" s="63"/>
      <c r="H722" s="63"/>
      <c r="I722" s="63"/>
      <c r="J722" s="96"/>
      <c r="K722" s="125" t="s">
        <v>312</v>
      </c>
      <c r="L722" s="65"/>
      <c r="M722" s="64"/>
    </row>
    <row r="723" spans="1:13" x14ac:dyDescent="0.25">
      <c r="A723" s="802"/>
      <c r="B723" s="96" t="s">
        <v>144</v>
      </c>
      <c r="C723" s="96"/>
      <c r="D723" s="63">
        <v>40</v>
      </c>
      <c r="E723" s="63">
        <v>40</v>
      </c>
      <c r="F723" s="102">
        <v>7.28</v>
      </c>
      <c r="G723" s="63">
        <v>0.77</v>
      </c>
      <c r="H723" s="63">
        <v>48.79</v>
      </c>
      <c r="I723" s="63">
        <v>235.9</v>
      </c>
      <c r="J723" s="96">
        <v>0</v>
      </c>
      <c r="K723" s="125"/>
      <c r="L723" s="114">
        <v>46.18</v>
      </c>
      <c r="M723" s="68">
        <f>SUM(L723*D723)/1000</f>
        <v>1.8472</v>
      </c>
    </row>
    <row r="724" spans="1:13" x14ac:dyDescent="0.25">
      <c r="A724" s="802"/>
      <c r="B724" s="96" t="s">
        <v>112</v>
      </c>
      <c r="C724" s="96"/>
      <c r="D724" s="63">
        <v>2</v>
      </c>
      <c r="E724" s="63">
        <v>2</v>
      </c>
      <c r="F724" s="102">
        <v>0</v>
      </c>
      <c r="G724" s="63">
        <v>0</v>
      </c>
      <c r="H724" s="63">
        <v>0</v>
      </c>
      <c r="I724" s="63">
        <v>0</v>
      </c>
      <c r="J724" s="96">
        <v>0</v>
      </c>
      <c r="K724" s="125"/>
      <c r="L724" s="114">
        <v>16.62</v>
      </c>
      <c r="M724" s="68">
        <f>SUM(L724*D724)/1000</f>
        <v>3.3239999999999999E-2</v>
      </c>
    </row>
    <row r="725" spans="1:13" x14ac:dyDescent="0.25">
      <c r="A725" s="802"/>
      <c r="B725" s="116" t="s">
        <v>121</v>
      </c>
      <c r="C725" s="107"/>
      <c r="D725" s="141" t="s">
        <v>35</v>
      </c>
      <c r="E725" s="141">
        <v>114.5</v>
      </c>
      <c r="F725" s="63">
        <v>0</v>
      </c>
      <c r="G725" s="63">
        <v>0</v>
      </c>
      <c r="H725" s="102">
        <v>0</v>
      </c>
      <c r="I725" s="63">
        <v>0</v>
      </c>
      <c r="J725" s="96">
        <v>0</v>
      </c>
      <c r="K725" s="125"/>
      <c r="L725" s="114"/>
      <c r="M725" s="68"/>
    </row>
    <row r="726" spans="1:13" ht="18" customHeight="1" x14ac:dyDescent="0.25">
      <c r="A726" s="802"/>
      <c r="B726" s="101" t="s">
        <v>21</v>
      </c>
      <c r="C726" s="107"/>
      <c r="D726" s="63">
        <v>5</v>
      </c>
      <c r="E726" s="63">
        <v>5</v>
      </c>
      <c r="F726" s="99">
        <v>0.04</v>
      </c>
      <c r="G726" s="100">
        <v>3.625</v>
      </c>
      <c r="H726" s="63">
        <v>6.5000000000000002E-2</v>
      </c>
      <c r="I726" s="63">
        <v>33.049999999999997</v>
      </c>
      <c r="J726" s="96">
        <v>0</v>
      </c>
      <c r="K726" s="126"/>
      <c r="L726" s="114">
        <v>376.98</v>
      </c>
      <c r="M726" s="68">
        <f>SUM(L726*D726)/1000</f>
        <v>1.8849</v>
      </c>
    </row>
    <row r="727" spans="1:13" x14ac:dyDescent="0.25">
      <c r="A727" s="802"/>
      <c r="B727" s="116"/>
      <c r="C727" s="107"/>
      <c r="D727" s="63"/>
      <c r="E727" s="63"/>
      <c r="F727" s="118">
        <f>SUM(F723:F726)</f>
        <v>7.32</v>
      </c>
      <c r="G727" s="118">
        <f>SUM(G723:G726)</f>
        <v>4.3949999999999996</v>
      </c>
      <c r="H727" s="118">
        <f>SUM(H723:H726)</f>
        <v>48.854999999999997</v>
      </c>
      <c r="I727" s="118">
        <f>SUM(I723:I726)</f>
        <v>268.95</v>
      </c>
      <c r="J727" s="119">
        <f>SUM(J723:J726)</f>
        <v>0</v>
      </c>
      <c r="K727" s="156"/>
      <c r="L727" s="65"/>
      <c r="M727" s="72">
        <f>SUM(M723:M726)</f>
        <v>3.7653400000000001</v>
      </c>
    </row>
    <row r="728" spans="1:13" x14ac:dyDescent="0.25">
      <c r="A728" s="802"/>
      <c r="B728" s="138" t="s">
        <v>180</v>
      </c>
      <c r="C728" s="124">
        <v>180</v>
      </c>
      <c r="D728" s="13"/>
      <c r="E728" s="13"/>
      <c r="F728" s="63"/>
      <c r="G728" s="63"/>
      <c r="H728" s="63"/>
      <c r="I728" s="63"/>
      <c r="J728" s="96"/>
      <c r="K728" s="108" t="s">
        <v>181</v>
      </c>
      <c r="L728" s="65"/>
      <c r="M728" s="64"/>
    </row>
    <row r="729" spans="1:13" x14ac:dyDescent="0.25">
      <c r="A729" s="802"/>
      <c r="B729" s="107" t="s">
        <v>182</v>
      </c>
      <c r="C729" s="107"/>
      <c r="D729" s="63">
        <v>18</v>
      </c>
      <c r="E729" s="63" t="s">
        <v>183</v>
      </c>
      <c r="F729" s="63">
        <v>0.93600000000000005</v>
      </c>
      <c r="G729" s="63">
        <v>5.3999999999999999E-2</v>
      </c>
      <c r="H729" s="63">
        <v>9.18</v>
      </c>
      <c r="I729" s="63">
        <v>41.76</v>
      </c>
      <c r="J729" s="96">
        <v>0.72</v>
      </c>
      <c r="K729" s="136"/>
      <c r="L729" s="114">
        <v>90</v>
      </c>
      <c r="M729" s="68">
        <f>SUM(L729*D729)/1000</f>
        <v>1.62</v>
      </c>
    </row>
    <row r="730" spans="1:13" x14ac:dyDescent="0.25">
      <c r="A730" s="802"/>
      <c r="B730" s="107" t="s">
        <v>38</v>
      </c>
      <c r="C730" s="107"/>
      <c r="D730" s="63">
        <v>14.4</v>
      </c>
      <c r="E730" s="63">
        <v>14.4</v>
      </c>
      <c r="F730" s="63">
        <v>0</v>
      </c>
      <c r="G730" s="63">
        <v>0</v>
      </c>
      <c r="H730" s="63">
        <v>14.371</v>
      </c>
      <c r="I730" s="63">
        <v>54.576000000000001</v>
      </c>
      <c r="J730" s="96">
        <v>0</v>
      </c>
      <c r="K730" s="136"/>
      <c r="L730" s="114">
        <v>50</v>
      </c>
      <c r="M730" s="68">
        <f>SUM(L730*D730)/1000</f>
        <v>0.72</v>
      </c>
    </row>
    <row r="731" spans="1:13" x14ac:dyDescent="0.25">
      <c r="A731" s="802"/>
      <c r="B731" s="107" t="s">
        <v>19</v>
      </c>
      <c r="C731" s="107"/>
      <c r="D731" s="63">
        <v>182.7</v>
      </c>
      <c r="E731" s="63">
        <v>182.7</v>
      </c>
      <c r="F731" s="63">
        <v>0</v>
      </c>
      <c r="G731" s="63">
        <v>0</v>
      </c>
      <c r="H731" s="63">
        <v>0</v>
      </c>
      <c r="I731" s="63">
        <v>0</v>
      </c>
      <c r="J731" s="96">
        <v>0</v>
      </c>
      <c r="K731" s="136"/>
      <c r="L731" s="114">
        <v>0</v>
      </c>
      <c r="M731" s="68">
        <f>SUM(L731*D731)/1000</f>
        <v>0</v>
      </c>
    </row>
    <row r="732" spans="1:13" x14ac:dyDescent="0.25">
      <c r="A732" s="802"/>
      <c r="B732" s="109" t="s">
        <v>39</v>
      </c>
      <c r="C732" s="124">
        <v>40</v>
      </c>
      <c r="D732" s="63">
        <v>40</v>
      </c>
      <c r="E732" s="63">
        <v>40</v>
      </c>
      <c r="F732" s="118">
        <v>3.3</v>
      </c>
      <c r="G732" s="118">
        <v>0.6</v>
      </c>
      <c r="H732" s="118">
        <v>17.100000000000001</v>
      </c>
      <c r="I732" s="118">
        <v>90.5</v>
      </c>
      <c r="J732" s="139">
        <v>0</v>
      </c>
      <c r="K732" s="153" t="s">
        <v>73</v>
      </c>
      <c r="L732" s="114">
        <v>40</v>
      </c>
      <c r="M732" s="72">
        <f>SUM(L732*D732)/1000</f>
        <v>1.6</v>
      </c>
    </row>
    <row r="733" spans="1:13" x14ac:dyDescent="0.25">
      <c r="A733" s="802"/>
      <c r="B733" s="109" t="s">
        <v>40</v>
      </c>
      <c r="C733" s="124">
        <v>40</v>
      </c>
      <c r="D733" s="63">
        <v>40</v>
      </c>
      <c r="E733" s="63">
        <v>40</v>
      </c>
      <c r="F733" s="118">
        <v>3.85</v>
      </c>
      <c r="G733" s="118">
        <v>1.5</v>
      </c>
      <c r="H733" s="118">
        <v>24.9</v>
      </c>
      <c r="I733" s="118">
        <v>131</v>
      </c>
      <c r="J733" s="139">
        <v>0</v>
      </c>
      <c r="K733" s="153" t="s">
        <v>73</v>
      </c>
      <c r="L733" s="114">
        <v>35</v>
      </c>
      <c r="M733" s="72">
        <f>SUM(L733*D733)/1000</f>
        <v>1.4</v>
      </c>
    </row>
    <row r="734" spans="1:13" x14ac:dyDescent="0.25">
      <c r="A734" s="803"/>
      <c r="B734" s="124" t="s">
        <v>153</v>
      </c>
      <c r="C734" s="124"/>
      <c r="D734" s="63"/>
      <c r="E734" s="63"/>
      <c r="F734" s="142">
        <f>SUM(F702,F711,F717,F724,F732:F733,)</f>
        <v>7.15</v>
      </c>
      <c r="G734" s="142">
        <f>SUM(G702,G711,G717,G724,G732:G733,)</f>
        <v>2.1</v>
      </c>
      <c r="H734" s="142">
        <f>SUM(H702,H711,H717,H724,H732:H733,)</f>
        <v>42</v>
      </c>
      <c r="I734" s="142">
        <f>SUM(I702,I711,I717,I724,I732:I733,)</f>
        <v>221.5</v>
      </c>
      <c r="J734" s="143">
        <f>SUM(J702,J711,J717,J724,J732:J733,)</f>
        <v>0</v>
      </c>
      <c r="K734" s="234"/>
      <c r="L734" s="235"/>
      <c r="M734" s="36">
        <f>SUM(M702,M711,M717,M724,M732:M733,)</f>
        <v>3.0531839999999999</v>
      </c>
    </row>
    <row r="735" spans="1:13" x14ac:dyDescent="0.25">
      <c r="A735" s="5" t="s">
        <v>75</v>
      </c>
      <c r="B735" s="13"/>
      <c r="C735" s="4"/>
      <c r="D735" s="105"/>
      <c r="E735" s="106"/>
      <c r="F735" s="183"/>
      <c r="G735" s="183"/>
      <c r="H735" s="183"/>
      <c r="I735" s="183"/>
      <c r="J735" s="249"/>
      <c r="K735" s="250"/>
      <c r="L735" s="65"/>
      <c r="M735" s="64"/>
    </row>
    <row r="736" spans="1:13" x14ac:dyDescent="0.25">
      <c r="A736" s="781"/>
      <c r="B736" s="375" t="s">
        <v>372</v>
      </c>
      <c r="C736" s="254">
        <v>100</v>
      </c>
      <c r="D736" s="187"/>
      <c r="E736" s="189"/>
      <c r="F736" s="187"/>
      <c r="G736" s="187"/>
      <c r="H736" s="187"/>
      <c r="I736" s="187"/>
      <c r="J736" s="188"/>
      <c r="K736" s="236" t="s">
        <v>373</v>
      </c>
      <c r="L736" s="365"/>
      <c r="M736" s="366"/>
    </row>
    <row r="737" spans="1:13" x14ac:dyDescent="0.25">
      <c r="A737" s="782"/>
      <c r="B737" s="376" t="s">
        <v>33</v>
      </c>
      <c r="C737" s="376"/>
      <c r="D737" s="187">
        <v>52.2</v>
      </c>
      <c r="E737" s="187">
        <v>52.2</v>
      </c>
      <c r="F737" s="187">
        <v>6.39</v>
      </c>
      <c r="G737" s="187">
        <v>0.68200000000000005</v>
      </c>
      <c r="H737" s="187">
        <v>42.81</v>
      </c>
      <c r="I737" s="187">
        <v>207.24</v>
      </c>
      <c r="J737" s="188">
        <v>0</v>
      </c>
      <c r="K737" s="190"/>
      <c r="L737" s="185">
        <v>27.17</v>
      </c>
      <c r="M737" s="368">
        <f>SUM(L737*D737)/1000</f>
        <v>1.418274</v>
      </c>
    </row>
    <row r="738" spans="1:13" x14ac:dyDescent="0.25">
      <c r="A738" s="782"/>
      <c r="B738" s="376" t="s">
        <v>34</v>
      </c>
      <c r="C738" s="376"/>
      <c r="D738" s="377">
        <v>2.6</v>
      </c>
      <c r="E738" s="187">
        <v>2.6</v>
      </c>
      <c r="F738" s="187">
        <v>0.38100000000000001</v>
      </c>
      <c r="G738" s="187">
        <v>0.34499999999999997</v>
      </c>
      <c r="H738" s="187">
        <v>2.1000000000000001E-2</v>
      </c>
      <c r="I738" s="187">
        <v>4.71</v>
      </c>
      <c r="J738" s="188">
        <v>0</v>
      </c>
      <c r="K738" s="190"/>
      <c r="L738" s="185">
        <v>4.6989999999999998</v>
      </c>
      <c r="M738" s="368">
        <f>SUM(L738*D738)/40</f>
        <v>0.30543500000000001</v>
      </c>
    </row>
    <row r="739" spans="1:13" x14ac:dyDescent="0.25">
      <c r="A739" s="782"/>
      <c r="B739" s="376" t="s">
        <v>66</v>
      </c>
      <c r="C739" s="376"/>
      <c r="D739" s="187">
        <v>52.2</v>
      </c>
      <c r="E739" s="187">
        <v>52.2</v>
      </c>
      <c r="F739" s="187">
        <v>1.7370000000000001</v>
      </c>
      <c r="G739" s="187">
        <v>1.9850000000000001</v>
      </c>
      <c r="H739" s="187">
        <v>2.9159999999999999</v>
      </c>
      <c r="I739" s="187">
        <v>35.988999999999997</v>
      </c>
      <c r="J739" s="188">
        <v>0.80600000000000005</v>
      </c>
      <c r="K739" s="190"/>
      <c r="L739" s="185">
        <v>43.22</v>
      </c>
      <c r="M739" s="368">
        <f t="shared" ref="M739:M744" si="44">SUM(L739*D739)/1000</f>
        <v>2.2560840000000004</v>
      </c>
    </row>
    <row r="740" spans="1:13" x14ac:dyDescent="0.25">
      <c r="A740" s="782"/>
      <c r="B740" s="376" t="s">
        <v>49</v>
      </c>
      <c r="C740" s="376"/>
      <c r="D740" s="187">
        <v>1.8</v>
      </c>
      <c r="E740" s="187">
        <v>1.8</v>
      </c>
      <c r="F740" s="187">
        <v>0</v>
      </c>
      <c r="G740" s="187">
        <v>0</v>
      </c>
      <c r="H740" s="187">
        <v>2.1949999999999998</v>
      </c>
      <c r="I740" s="187">
        <v>8.3379999999999992</v>
      </c>
      <c r="J740" s="188">
        <v>0</v>
      </c>
      <c r="K740" s="190"/>
      <c r="L740" s="185">
        <v>50.7</v>
      </c>
      <c r="M740" s="368">
        <f t="shared" si="44"/>
        <v>9.1260000000000008E-2</v>
      </c>
    </row>
    <row r="741" spans="1:13" x14ac:dyDescent="0.25">
      <c r="A741" s="782"/>
      <c r="B741" s="376" t="s">
        <v>37</v>
      </c>
      <c r="C741" s="376"/>
      <c r="D741" s="187">
        <v>4.5999999999999996</v>
      </c>
      <c r="E741" s="187">
        <v>4.5999999999999996</v>
      </c>
      <c r="F741" s="187">
        <v>0</v>
      </c>
      <c r="G741" s="187">
        <v>5.9939999999999998</v>
      </c>
      <c r="H741" s="187">
        <v>0</v>
      </c>
      <c r="I741" s="187">
        <v>53.94</v>
      </c>
      <c r="J741" s="188">
        <v>0</v>
      </c>
      <c r="K741" s="190"/>
      <c r="L741" s="185">
        <v>92.2</v>
      </c>
      <c r="M741" s="368">
        <f t="shared" si="44"/>
        <v>0.42412</v>
      </c>
    </row>
    <row r="742" spans="1:13" x14ac:dyDescent="0.25">
      <c r="A742" s="782"/>
      <c r="B742" s="376" t="s">
        <v>76</v>
      </c>
      <c r="C742" s="376"/>
      <c r="D742" s="187">
        <v>7.7</v>
      </c>
      <c r="E742" s="187">
        <v>7.7</v>
      </c>
      <c r="F742" s="187">
        <v>0.04</v>
      </c>
      <c r="G742" s="187">
        <v>0</v>
      </c>
      <c r="H742" s="187">
        <v>6.5</v>
      </c>
      <c r="I742" s="187">
        <v>25</v>
      </c>
      <c r="J742" s="188">
        <v>0.05</v>
      </c>
      <c r="K742" s="190"/>
      <c r="L742" s="185">
        <v>158.22999999999999</v>
      </c>
      <c r="M742" s="368">
        <f t="shared" si="44"/>
        <v>1.2183709999999999</v>
      </c>
    </row>
    <row r="743" spans="1:13" x14ac:dyDescent="0.25">
      <c r="A743" s="783"/>
      <c r="B743" s="376" t="s">
        <v>112</v>
      </c>
      <c r="C743" s="376"/>
      <c r="D743" s="187">
        <v>1</v>
      </c>
      <c r="E743" s="187">
        <v>1</v>
      </c>
      <c r="F743" s="187">
        <v>0</v>
      </c>
      <c r="G743" s="187">
        <v>0</v>
      </c>
      <c r="H743" s="187">
        <v>0</v>
      </c>
      <c r="I743" s="187">
        <v>0</v>
      </c>
      <c r="J743" s="188">
        <v>0</v>
      </c>
      <c r="K743" s="190"/>
      <c r="L743" s="185">
        <v>16.62</v>
      </c>
      <c r="M743" s="368">
        <f t="shared" si="44"/>
        <v>1.6619999999999999E-2</v>
      </c>
    </row>
    <row r="744" spans="1:13" x14ac:dyDescent="0.25">
      <c r="A744" s="5"/>
      <c r="B744" s="376" t="s">
        <v>77</v>
      </c>
      <c r="C744" s="376"/>
      <c r="D744" s="187">
        <v>0.4</v>
      </c>
      <c r="E744" s="187">
        <v>0.4</v>
      </c>
      <c r="F744" s="187">
        <v>0</v>
      </c>
      <c r="G744" s="187">
        <v>0</v>
      </c>
      <c r="H744" s="187">
        <v>0</v>
      </c>
      <c r="I744" s="187">
        <v>0</v>
      </c>
      <c r="J744" s="188">
        <v>0</v>
      </c>
      <c r="K744" s="190"/>
      <c r="L744" s="185">
        <v>400</v>
      </c>
      <c r="M744" s="368">
        <f t="shared" si="44"/>
        <v>0.16</v>
      </c>
    </row>
    <row r="745" spans="1:13" x14ac:dyDescent="0.25">
      <c r="A745" s="581"/>
      <c r="B745" s="376"/>
      <c r="C745" s="376"/>
      <c r="D745" s="378"/>
      <c r="E745" s="187"/>
      <c r="F745" s="130">
        <f>SUM(F737:F744)</f>
        <v>8.5479999999999983</v>
      </c>
      <c r="G745" s="130">
        <f>SUM(G737:G744)</f>
        <v>9.0060000000000002</v>
      </c>
      <c r="H745" s="130">
        <f>SUM(H737:H744)</f>
        <v>54.442</v>
      </c>
      <c r="I745" s="130">
        <f>SUM(I737:I744)</f>
        <v>335.21700000000004</v>
      </c>
      <c r="J745" s="130">
        <f>SUM(J737:J744)</f>
        <v>0.85600000000000009</v>
      </c>
      <c r="K745" s="158"/>
      <c r="L745" s="365"/>
      <c r="M745" s="369">
        <f>SUM(M737:M744)</f>
        <v>5.8901640000000004</v>
      </c>
    </row>
    <row r="746" spans="1:13" x14ac:dyDescent="0.25">
      <c r="A746" s="781"/>
      <c r="B746" s="582" t="s">
        <v>72</v>
      </c>
      <c r="C746" s="105" t="s">
        <v>187</v>
      </c>
      <c r="D746" s="13"/>
      <c r="E746" s="13"/>
      <c r="F746" s="13"/>
      <c r="G746" s="13"/>
      <c r="H746" s="13"/>
      <c r="I746" s="13"/>
      <c r="J746" s="96"/>
      <c r="L746" s="65"/>
      <c r="M746" s="64">
        <f>SUM(L746*D746)/1000</f>
        <v>0</v>
      </c>
    </row>
    <row r="747" spans="1:13" x14ac:dyDescent="0.25">
      <c r="A747" s="782"/>
      <c r="B747" s="582" t="s">
        <v>184</v>
      </c>
      <c r="C747" s="124"/>
      <c r="D747" s="13">
        <v>30</v>
      </c>
      <c r="E747" s="13">
        <v>30</v>
      </c>
      <c r="F747" s="13"/>
      <c r="G747" s="13"/>
      <c r="H747" s="13"/>
      <c r="I747" s="13"/>
      <c r="J747" s="96"/>
      <c r="K747" s="125" t="s">
        <v>188</v>
      </c>
      <c r="L747" s="65"/>
      <c r="M747" s="68"/>
    </row>
    <row r="748" spans="1:13" x14ac:dyDescent="0.25">
      <c r="A748" s="782"/>
      <c r="B748" s="107" t="s">
        <v>120</v>
      </c>
      <c r="C748" s="124"/>
      <c r="D748" s="63">
        <v>32.4</v>
      </c>
      <c r="E748" s="63">
        <v>32.4</v>
      </c>
      <c r="F748" s="63">
        <v>0</v>
      </c>
      <c r="G748" s="63">
        <v>0</v>
      </c>
      <c r="H748" s="63">
        <v>0</v>
      </c>
      <c r="I748" s="63">
        <v>0</v>
      </c>
      <c r="J748" s="96">
        <v>0</v>
      </c>
      <c r="K748" s="125"/>
      <c r="L748" s="79"/>
      <c r="M748" s="68"/>
    </row>
    <row r="749" spans="1:13" x14ac:dyDescent="0.25">
      <c r="A749" s="782"/>
      <c r="B749" s="107" t="s">
        <v>185</v>
      </c>
      <c r="C749" s="107"/>
      <c r="D749" s="63">
        <v>0.3</v>
      </c>
      <c r="E749" s="63">
        <v>0.3</v>
      </c>
      <c r="F749" s="63">
        <v>0.06</v>
      </c>
      <c r="G749" s="63">
        <v>0</v>
      </c>
      <c r="H749" s="63">
        <v>2.07E-2</v>
      </c>
      <c r="I749" s="63">
        <v>0.45540000000000003</v>
      </c>
      <c r="J749" s="96">
        <v>0.03</v>
      </c>
      <c r="K749" s="126"/>
      <c r="L749" s="114">
        <v>0</v>
      </c>
      <c r="M749" s="68">
        <f>SUM(L749*D749)/1000</f>
        <v>0</v>
      </c>
    </row>
    <row r="750" spans="1:13" x14ac:dyDescent="0.25">
      <c r="A750" s="782"/>
      <c r="B750" s="107" t="s">
        <v>49</v>
      </c>
      <c r="C750" s="107"/>
      <c r="D750" s="63">
        <v>10</v>
      </c>
      <c r="E750" s="63">
        <v>10</v>
      </c>
      <c r="F750" s="63">
        <v>0</v>
      </c>
      <c r="G750" s="63">
        <v>0</v>
      </c>
      <c r="H750" s="63">
        <v>9.98</v>
      </c>
      <c r="I750" s="63">
        <v>37.9</v>
      </c>
      <c r="J750" s="96">
        <v>0</v>
      </c>
      <c r="K750" s="126"/>
      <c r="L750" s="114">
        <v>400</v>
      </c>
      <c r="M750" s="68">
        <f>SUM(L750*D750)/1000</f>
        <v>4</v>
      </c>
    </row>
    <row r="751" spans="1:13" x14ac:dyDescent="0.25">
      <c r="A751" s="782"/>
      <c r="B751" s="107" t="s">
        <v>19</v>
      </c>
      <c r="C751" s="107"/>
      <c r="D751" s="63">
        <v>150</v>
      </c>
      <c r="E751" s="63">
        <v>150</v>
      </c>
      <c r="F751" s="63">
        <v>0</v>
      </c>
      <c r="G751" s="63">
        <v>0</v>
      </c>
      <c r="H751" s="63">
        <v>0</v>
      </c>
      <c r="I751" s="63">
        <v>0</v>
      </c>
      <c r="J751" s="96">
        <v>0</v>
      </c>
      <c r="K751" s="126"/>
      <c r="L751" s="114">
        <v>50.7</v>
      </c>
      <c r="M751" s="68">
        <f>SUM(L751*D751)/1000</f>
        <v>7.6050000000000004</v>
      </c>
    </row>
    <row r="752" spans="1:13" x14ac:dyDescent="0.25">
      <c r="A752" s="782"/>
      <c r="B752" s="157"/>
      <c r="C752" s="157"/>
      <c r="D752" s="51"/>
      <c r="E752" s="51"/>
      <c r="F752" s="267">
        <f>SUM(F749:F751)</f>
        <v>0.06</v>
      </c>
      <c r="G752" s="267">
        <f>SUM(G749:G751)</f>
        <v>0</v>
      </c>
      <c r="H752" s="267">
        <f>SUM(H749:H751)</f>
        <v>10.0007</v>
      </c>
      <c r="I752" s="267">
        <f>SUM(I749:I751)</f>
        <v>38.355399999999996</v>
      </c>
      <c r="J752" s="268">
        <f>SUM(J749:J751)</f>
        <v>0.03</v>
      </c>
      <c r="K752" s="156"/>
      <c r="L752" s="114">
        <v>0</v>
      </c>
      <c r="M752" s="68">
        <f>SUM(L752*D752)/1000</f>
        <v>0</v>
      </c>
    </row>
    <row r="753" spans="1:13" x14ac:dyDescent="0.25">
      <c r="A753" s="782"/>
      <c r="B753" s="124" t="s">
        <v>46</v>
      </c>
      <c r="C753" s="124"/>
      <c r="D753" s="63"/>
      <c r="E753" s="63"/>
      <c r="F753" s="265">
        <f>SUM(F745,F752)</f>
        <v>8.6079999999999988</v>
      </c>
      <c r="G753" s="265">
        <f>SUM(G745,G752)</f>
        <v>9.0060000000000002</v>
      </c>
      <c r="H753" s="265">
        <f>SUM(H745,H752)</f>
        <v>64.442700000000002</v>
      </c>
      <c r="I753" s="265">
        <f>SUM(I745,I752)</f>
        <v>373.57240000000002</v>
      </c>
      <c r="J753" s="265">
        <f>SUM(J745,J752)</f>
        <v>0.88600000000000012</v>
      </c>
      <c r="K753" s="158"/>
      <c r="L753" s="65"/>
      <c r="M753" s="72">
        <f>SUM(M750:M752)</f>
        <v>11.605</v>
      </c>
    </row>
    <row r="754" spans="1:13" x14ac:dyDescent="0.25">
      <c r="A754" s="783"/>
      <c r="B754" s="124"/>
      <c r="C754" s="124"/>
      <c r="D754" s="13"/>
      <c r="E754" s="13"/>
      <c r="F754" s="142"/>
      <c r="G754" s="142"/>
      <c r="H754" s="142"/>
      <c r="I754" s="142"/>
      <c r="J754" s="143"/>
      <c r="K754" s="234"/>
      <c r="L754" s="65"/>
      <c r="M754" s="265">
        <f>SUM(M745,M753)</f>
        <v>17.495164000000003</v>
      </c>
    </row>
    <row r="755" spans="1:13" x14ac:dyDescent="0.25">
      <c r="A755" s="535" t="s">
        <v>154</v>
      </c>
      <c r="B755" s="146"/>
      <c r="C755" s="146"/>
      <c r="D755" s="23"/>
      <c r="E755" s="23"/>
      <c r="F755" s="275">
        <f>F689+F734+F753</f>
        <v>24.470399999999998</v>
      </c>
      <c r="G755" s="275">
        <f>G689+G734+G753</f>
        <v>18.611600000000003</v>
      </c>
      <c r="H755" s="275">
        <f>H689+H734+H753</f>
        <v>171.9385</v>
      </c>
      <c r="I755" s="275">
        <f>I689+I734+I753</f>
        <v>902.24180000000001</v>
      </c>
      <c r="J755" s="275">
        <f>J689+J734+J753</f>
        <v>4.0889000000000006</v>
      </c>
      <c r="K755" s="30"/>
      <c r="L755" s="74"/>
      <c r="M755" s="80">
        <f>SUM(M687,M734,M754)</f>
        <v>20.548348000000004</v>
      </c>
    </row>
    <row r="756" spans="1:13" x14ac:dyDescent="0.25">
      <c r="A756" s="13" t="s">
        <v>155</v>
      </c>
      <c r="B756" s="13"/>
      <c r="C756" s="13"/>
      <c r="D756" s="51"/>
      <c r="E756" s="51"/>
      <c r="F756" s="183"/>
      <c r="G756" s="183"/>
      <c r="H756" s="183"/>
      <c r="I756" s="183"/>
      <c r="J756" s="184"/>
      <c r="K756" s="236"/>
      <c r="L756" s="65"/>
      <c r="M756" s="64"/>
    </row>
    <row r="757" spans="1:13" x14ac:dyDescent="0.25">
      <c r="A757" s="5" t="s">
        <v>140</v>
      </c>
      <c r="B757" s="13"/>
      <c r="C757" s="4"/>
      <c r="D757" s="105"/>
      <c r="E757" s="106"/>
      <c r="F757" s="183"/>
      <c r="G757" s="183"/>
      <c r="H757" s="183"/>
      <c r="I757" s="183"/>
      <c r="J757" s="184"/>
      <c r="K757" s="236"/>
      <c r="L757" s="65"/>
      <c r="M757" s="64"/>
    </row>
    <row r="758" spans="1:13" ht="28.5" x14ac:dyDescent="0.25">
      <c r="A758" s="781"/>
      <c r="B758" s="124" t="s">
        <v>374</v>
      </c>
      <c r="C758" s="124">
        <v>200</v>
      </c>
      <c r="D758" s="107"/>
      <c r="E758" s="107"/>
      <c r="F758" s="206">
        <f>F759+F760</f>
        <v>6.4799999999999995</v>
      </c>
      <c r="G758" s="206">
        <f>G759+G760</f>
        <v>6.080000000000001</v>
      </c>
      <c r="H758" s="206">
        <f>H759+H760</f>
        <v>20.648000000000003</v>
      </c>
      <c r="I758" s="206">
        <f>I759+I760</f>
        <v>158.768</v>
      </c>
      <c r="J758" s="206">
        <f>J759+J760</f>
        <v>2.3920000000000003</v>
      </c>
      <c r="K758" s="107" t="s">
        <v>375</v>
      </c>
      <c r="L758" s="65"/>
      <c r="M758" s="64"/>
    </row>
    <row r="759" spans="1:13" ht="30" x14ac:dyDescent="0.25">
      <c r="A759" s="782"/>
      <c r="B759" s="107" t="s">
        <v>376</v>
      </c>
      <c r="C759" s="107"/>
      <c r="D759" s="107">
        <v>16</v>
      </c>
      <c r="E759" s="107">
        <v>16</v>
      </c>
      <c r="F759" s="107">
        <f>8.3*E759/100</f>
        <v>1.3280000000000001</v>
      </c>
      <c r="G759" s="107">
        <f>1.2*E759/100</f>
        <v>0.192</v>
      </c>
      <c r="H759" s="107">
        <f>75*E759/100</f>
        <v>12</v>
      </c>
      <c r="I759" s="107">
        <f>325.3*E759/100</f>
        <v>52.048000000000002</v>
      </c>
      <c r="J759" s="107">
        <v>0</v>
      </c>
      <c r="K759" s="107"/>
      <c r="L759" s="114"/>
      <c r="M759" s="68"/>
    </row>
    <row r="760" spans="1:13" x14ac:dyDescent="0.25">
      <c r="A760" s="782"/>
      <c r="B760" s="107" t="s">
        <v>228</v>
      </c>
      <c r="C760" s="107"/>
      <c r="D760" s="107">
        <v>193.5</v>
      </c>
      <c r="E760" s="107">
        <v>184</v>
      </c>
      <c r="F760" s="107">
        <f>2.8*E760/100</f>
        <v>5.1519999999999992</v>
      </c>
      <c r="G760" s="107">
        <f>3.2*E760/100</f>
        <v>5.8880000000000008</v>
      </c>
      <c r="H760" s="107">
        <f>4.7*E760/100</f>
        <v>8.6480000000000015</v>
      </c>
      <c r="I760" s="107">
        <f>58*E760/100</f>
        <v>106.72</v>
      </c>
      <c r="J760" s="107">
        <f>1.3*E760/100</f>
        <v>2.3920000000000003</v>
      </c>
      <c r="K760" s="107"/>
      <c r="L760" s="114"/>
      <c r="M760" s="68"/>
    </row>
    <row r="761" spans="1:13" x14ac:dyDescent="0.25">
      <c r="A761" s="782"/>
      <c r="B761" s="124" t="s">
        <v>78</v>
      </c>
      <c r="C761" s="107">
        <v>25</v>
      </c>
      <c r="D761" s="107">
        <v>25</v>
      </c>
      <c r="E761" s="107">
        <v>25</v>
      </c>
      <c r="F761" s="206">
        <f>7.5*E761/100</f>
        <v>1.875</v>
      </c>
      <c r="G761" s="206">
        <f>11.8*E761/100</f>
        <v>2.95</v>
      </c>
      <c r="H761" s="206">
        <f>74.9*E761/100</f>
        <v>18.725000000000001</v>
      </c>
      <c r="I761" s="206">
        <f>417.1*E761/100</f>
        <v>104.27500000000001</v>
      </c>
      <c r="J761" s="206">
        <v>0</v>
      </c>
      <c r="K761" s="107" t="s">
        <v>73</v>
      </c>
      <c r="L761" s="114"/>
      <c r="M761" s="68"/>
    </row>
    <row r="762" spans="1:13" x14ac:dyDescent="0.25">
      <c r="A762" s="782"/>
      <c r="B762" s="124" t="s">
        <v>384</v>
      </c>
      <c r="C762" s="107" t="s">
        <v>187</v>
      </c>
      <c r="D762" s="107"/>
      <c r="E762" s="107"/>
      <c r="F762" s="107"/>
      <c r="G762" s="107"/>
      <c r="H762" s="107"/>
      <c r="I762" s="107"/>
      <c r="J762" s="107"/>
      <c r="K762" s="107"/>
      <c r="L762" s="65"/>
      <c r="M762" s="68"/>
    </row>
    <row r="763" spans="1:13" x14ac:dyDescent="0.25">
      <c r="A763" s="782"/>
      <c r="B763" s="107" t="s">
        <v>184</v>
      </c>
      <c r="C763" s="107"/>
      <c r="D763" s="107">
        <v>30</v>
      </c>
      <c r="E763" s="107">
        <v>30</v>
      </c>
      <c r="F763" s="107"/>
      <c r="G763" s="107"/>
      <c r="H763" s="107"/>
      <c r="I763" s="107"/>
      <c r="J763" s="107"/>
      <c r="K763" s="107" t="s">
        <v>188</v>
      </c>
      <c r="L763" s="88"/>
      <c r="M763" s="68"/>
    </row>
    <row r="764" spans="1:13" x14ac:dyDescent="0.25">
      <c r="A764" s="782"/>
      <c r="B764" s="107" t="s">
        <v>228</v>
      </c>
      <c r="C764" s="107"/>
      <c r="D764" s="107">
        <v>92</v>
      </c>
      <c r="E764" s="107">
        <v>92</v>
      </c>
      <c r="F764" s="107">
        <v>0</v>
      </c>
      <c r="G764" s="107">
        <v>2.34</v>
      </c>
      <c r="H764" s="107">
        <v>14.31</v>
      </c>
      <c r="I764" s="107">
        <v>89</v>
      </c>
      <c r="J764" s="107">
        <v>1.2</v>
      </c>
      <c r="K764" s="107"/>
      <c r="L764" s="88"/>
      <c r="M764" s="68"/>
    </row>
    <row r="765" spans="1:13" x14ac:dyDescent="0.25">
      <c r="A765" s="782"/>
      <c r="B765" s="107" t="s">
        <v>185</v>
      </c>
      <c r="C765" s="107"/>
      <c r="D765" s="107">
        <v>0.3</v>
      </c>
      <c r="E765" s="107">
        <v>0.3</v>
      </c>
      <c r="F765" s="107">
        <v>0.06</v>
      </c>
      <c r="G765" s="107">
        <v>0</v>
      </c>
      <c r="H765" s="107">
        <v>2.07E-2</v>
      </c>
      <c r="I765" s="107">
        <v>0.45540000000000003</v>
      </c>
      <c r="J765" s="107">
        <v>0.03</v>
      </c>
      <c r="K765" s="107"/>
      <c r="L765" s="114"/>
      <c r="M765" s="68"/>
    </row>
    <row r="766" spans="1:13" x14ac:dyDescent="0.25">
      <c r="A766" s="782"/>
      <c r="B766" s="107" t="s">
        <v>49</v>
      </c>
      <c r="C766" s="107"/>
      <c r="D766" s="107">
        <v>10</v>
      </c>
      <c r="E766" s="107">
        <v>10</v>
      </c>
      <c r="F766" s="107">
        <v>0</v>
      </c>
      <c r="G766" s="107">
        <v>0</v>
      </c>
      <c r="H766" s="107">
        <v>9.98</v>
      </c>
      <c r="I766" s="107">
        <v>37.9</v>
      </c>
      <c r="J766" s="107">
        <v>0</v>
      </c>
      <c r="K766" s="107"/>
      <c r="L766" s="114"/>
      <c r="M766" s="68"/>
    </row>
    <row r="767" spans="1:13" x14ac:dyDescent="0.25">
      <c r="A767" s="782"/>
      <c r="B767" s="107" t="s">
        <v>19</v>
      </c>
      <c r="C767" s="107"/>
      <c r="D767" s="107">
        <v>60</v>
      </c>
      <c r="E767" s="107">
        <v>60</v>
      </c>
      <c r="F767" s="107">
        <v>0</v>
      </c>
      <c r="G767" s="107">
        <v>0</v>
      </c>
      <c r="H767" s="107">
        <v>0</v>
      </c>
      <c r="I767" s="107">
        <v>0</v>
      </c>
      <c r="J767" s="107">
        <v>0</v>
      </c>
      <c r="K767" s="107"/>
      <c r="L767" s="114"/>
      <c r="M767" s="68"/>
    </row>
    <row r="768" spans="1:13" x14ac:dyDescent="0.25">
      <c r="A768" s="782"/>
      <c r="B768" s="107" t="s">
        <v>48</v>
      </c>
      <c r="C768" s="107"/>
      <c r="D768" s="107">
        <v>0</v>
      </c>
      <c r="E768" s="107">
        <v>0</v>
      </c>
      <c r="F768" s="107">
        <v>0</v>
      </c>
      <c r="G768" s="107">
        <v>0</v>
      </c>
      <c r="H768" s="107">
        <v>0</v>
      </c>
      <c r="I768" s="107">
        <v>0</v>
      </c>
      <c r="J768" s="107">
        <v>0</v>
      </c>
      <c r="K768" s="107"/>
      <c r="L768" s="185"/>
      <c r="M768" s="72"/>
    </row>
    <row r="769" spans="1:13" x14ac:dyDescent="0.25">
      <c r="A769" s="782"/>
      <c r="B769" s="107"/>
      <c r="C769" s="107"/>
      <c r="D769" s="107"/>
      <c r="E769" s="107"/>
      <c r="F769" s="206">
        <f>SUM(F765:F768)</f>
        <v>0.06</v>
      </c>
      <c r="G769" s="206">
        <f>SUM(G765:G768)</f>
        <v>0</v>
      </c>
      <c r="H769" s="206">
        <f>SUM(H765:H768)</f>
        <v>10.0007</v>
      </c>
      <c r="I769" s="206">
        <f>SUM(I765:I768)</f>
        <v>38.355399999999996</v>
      </c>
      <c r="J769" s="206">
        <f>SUM(J765:J768)</f>
        <v>0.03</v>
      </c>
      <c r="K769" s="107"/>
      <c r="L769" s="79"/>
      <c r="M769" s="315"/>
    </row>
    <row r="770" spans="1:13" x14ac:dyDescent="0.25">
      <c r="A770" s="782"/>
      <c r="B770" s="124" t="s">
        <v>377</v>
      </c>
      <c r="C770" s="107">
        <v>80</v>
      </c>
      <c r="D770" s="107">
        <v>80</v>
      </c>
      <c r="E770" s="107">
        <v>80</v>
      </c>
      <c r="F770" s="124">
        <v>0</v>
      </c>
      <c r="G770" s="124">
        <v>0</v>
      </c>
      <c r="H770" s="124">
        <f>10.7*E770/100</f>
        <v>8.56</v>
      </c>
      <c r="I770" s="124">
        <f>43*E770/100</f>
        <v>34.4</v>
      </c>
      <c r="J770" s="124">
        <f>25*E770/100</f>
        <v>20</v>
      </c>
      <c r="K770" s="107" t="s">
        <v>73</v>
      </c>
      <c r="L770" s="65"/>
      <c r="M770" s="64"/>
    </row>
    <row r="771" spans="1:13" x14ac:dyDescent="0.25">
      <c r="A771" s="782"/>
      <c r="B771" s="107" t="s">
        <v>26</v>
      </c>
      <c r="C771" s="107"/>
      <c r="D771" s="107"/>
      <c r="E771" s="107"/>
      <c r="F771" s="107">
        <f>F758+F768+F769+F770</f>
        <v>6.5399999999999991</v>
      </c>
      <c r="G771" s="107">
        <f>G758+G768+G769+G770</f>
        <v>6.080000000000001</v>
      </c>
      <c r="H771" s="107">
        <f>H758+H768+H769+H770</f>
        <v>39.208700000000007</v>
      </c>
      <c r="I771" s="107">
        <f>I758+I768+I769+I770</f>
        <v>231.52340000000001</v>
      </c>
      <c r="J771" s="107">
        <f>J758+J768+J769+J770</f>
        <v>22.422000000000001</v>
      </c>
      <c r="K771" s="107"/>
      <c r="L771" s="114">
        <v>375</v>
      </c>
      <c r="M771" s="68">
        <f>SUM(L771*D771)/1000</f>
        <v>0</v>
      </c>
    </row>
    <row r="772" spans="1:13" x14ac:dyDescent="0.25">
      <c r="A772" s="783"/>
      <c r="B772" s="107"/>
      <c r="C772" s="107"/>
      <c r="D772" s="107"/>
      <c r="E772" s="107"/>
      <c r="F772" s="107">
        <f>SUM(F770:F771)</f>
        <v>6.5399999999999991</v>
      </c>
      <c r="G772" s="107">
        <f>SUM(G770:G771)</f>
        <v>6.080000000000001</v>
      </c>
      <c r="H772" s="107">
        <f>SUM(H770:H771)</f>
        <v>47.76870000000001</v>
      </c>
      <c r="I772" s="107">
        <f>SUM(I770:I771)</f>
        <v>265.92340000000002</v>
      </c>
      <c r="J772" s="107">
        <f>SUM(J770:J771)</f>
        <v>42.421999999999997</v>
      </c>
      <c r="K772" s="107"/>
      <c r="L772" s="65"/>
      <c r="M772" s="72">
        <f>SUM(M770:M771)</f>
        <v>0</v>
      </c>
    </row>
    <row r="773" spans="1:13" ht="15" hidden="1" customHeight="1" x14ac:dyDescent="0.25">
      <c r="A773" s="782"/>
      <c r="B773" s="124"/>
      <c r="C773" s="124"/>
      <c r="D773" s="63"/>
      <c r="E773" s="63"/>
      <c r="F773" s="130"/>
      <c r="G773" s="130"/>
      <c r="H773" s="130"/>
      <c r="I773" s="130"/>
      <c r="J773" s="131"/>
      <c r="K773" s="162"/>
      <c r="L773" s="65"/>
      <c r="M773" s="66"/>
    </row>
    <row r="774" spans="1:13" x14ac:dyDescent="0.25">
      <c r="A774" s="783"/>
      <c r="B774" s="124" t="s">
        <v>57</v>
      </c>
      <c r="C774" s="124"/>
      <c r="D774" s="63"/>
      <c r="E774" s="63"/>
      <c r="F774" s="142">
        <f>F761+F769+F758</f>
        <v>8.4149999999999991</v>
      </c>
      <c r="G774" s="142">
        <f>G758+G761+G769</f>
        <v>9.0300000000000011</v>
      </c>
      <c r="H774" s="142">
        <f>H758+H761+H769</f>
        <v>49.373700000000007</v>
      </c>
      <c r="I774" s="142">
        <f>I758+I761+I769</f>
        <v>301.39839999999998</v>
      </c>
      <c r="J774" s="142">
        <f>J758+J761+J769</f>
        <v>2.4220000000000002</v>
      </c>
      <c r="K774" s="251"/>
      <c r="L774" s="237"/>
      <c r="M774" s="252"/>
    </row>
    <row r="775" spans="1:13" x14ac:dyDescent="0.25">
      <c r="A775" s="5" t="s">
        <v>58</v>
      </c>
      <c r="B775" s="13"/>
      <c r="C775" s="13"/>
      <c r="D775" s="105"/>
      <c r="E775" s="106"/>
      <c r="F775" s="51"/>
      <c r="G775" s="51"/>
      <c r="H775" s="51"/>
      <c r="I775" s="51"/>
      <c r="J775" s="53"/>
      <c r="K775" s="125"/>
      <c r="L775" s="65"/>
      <c r="M775" s="64"/>
    </row>
    <row r="776" spans="1:13" x14ac:dyDescent="0.25">
      <c r="A776" s="781"/>
      <c r="B776" s="438" t="s">
        <v>108</v>
      </c>
      <c r="C776" s="140">
        <v>200</v>
      </c>
      <c r="D776" s="154"/>
      <c r="E776" s="154"/>
      <c r="F776" s="13"/>
      <c r="G776" s="13"/>
      <c r="H776" s="13"/>
      <c r="I776" s="13"/>
      <c r="J776" s="96"/>
      <c r="K776" s="125" t="s">
        <v>109</v>
      </c>
      <c r="L776" s="65"/>
      <c r="M776" s="64"/>
    </row>
    <row r="777" spans="1:13" x14ac:dyDescent="0.25">
      <c r="A777" s="782"/>
      <c r="B777" s="428" t="s">
        <v>36</v>
      </c>
      <c r="C777" s="96"/>
      <c r="D777" s="63">
        <v>53.4</v>
      </c>
      <c r="E777" s="63">
        <v>40</v>
      </c>
      <c r="F777" s="102">
        <v>0.8</v>
      </c>
      <c r="G777" s="63">
        <v>0.16</v>
      </c>
      <c r="H777" s="63">
        <v>6.52</v>
      </c>
      <c r="I777" s="63">
        <v>30.8</v>
      </c>
      <c r="J777" s="96">
        <v>8</v>
      </c>
      <c r="K777" s="152"/>
      <c r="L777" s="135">
        <v>21.89</v>
      </c>
      <c r="M777" s="68">
        <f>SUM(L777*D777)/1000</f>
        <v>1.1689259999999999</v>
      </c>
    </row>
    <row r="778" spans="1:13" x14ac:dyDescent="0.25">
      <c r="A778" s="782"/>
      <c r="B778" s="428" t="s">
        <v>59</v>
      </c>
      <c r="C778" s="96"/>
      <c r="D778" s="63">
        <v>10</v>
      </c>
      <c r="E778" s="63">
        <v>8</v>
      </c>
      <c r="F778" s="63">
        <v>0.104</v>
      </c>
      <c r="G778" s="63">
        <v>8.0000000000000002E-3</v>
      </c>
      <c r="H778" s="63">
        <v>0.55200000000000005</v>
      </c>
      <c r="I778" s="63">
        <v>2.8</v>
      </c>
      <c r="J778" s="96">
        <v>0.4</v>
      </c>
      <c r="K778" s="152"/>
      <c r="L778" s="114">
        <v>38.5</v>
      </c>
      <c r="M778" s="68">
        <f>SUM(L778*D778)/1000</f>
        <v>0.38500000000000001</v>
      </c>
    </row>
    <row r="779" spans="1:13" x14ac:dyDescent="0.25">
      <c r="A779" s="782"/>
      <c r="B779" s="428" t="s">
        <v>32</v>
      </c>
      <c r="C779" s="96"/>
      <c r="D779" s="63">
        <v>9.6</v>
      </c>
      <c r="E779" s="63">
        <v>8</v>
      </c>
      <c r="F779" s="63">
        <v>0.112</v>
      </c>
      <c r="G779" s="63">
        <v>1.6E-2</v>
      </c>
      <c r="H779" s="63">
        <v>0.65600000000000003</v>
      </c>
      <c r="I779" s="63">
        <v>0.28000000000000003</v>
      </c>
      <c r="J779" s="96">
        <v>0.8</v>
      </c>
      <c r="K779" s="152"/>
      <c r="L779" s="114">
        <v>21.98</v>
      </c>
      <c r="M779" s="68">
        <f>SUM(L779*D779)/1000</f>
        <v>0.211008</v>
      </c>
    </row>
    <row r="780" spans="1:13" x14ac:dyDescent="0.25">
      <c r="A780" s="782"/>
      <c r="B780" s="428" t="s">
        <v>37</v>
      </c>
      <c r="C780" s="96"/>
      <c r="D780" s="63">
        <v>2</v>
      </c>
      <c r="E780" s="63">
        <v>2</v>
      </c>
      <c r="F780" s="102">
        <v>0</v>
      </c>
      <c r="G780" s="63">
        <v>1.998</v>
      </c>
      <c r="H780" s="63">
        <v>0</v>
      </c>
      <c r="I780" s="63">
        <v>17.98</v>
      </c>
      <c r="J780" s="96">
        <v>0</v>
      </c>
      <c r="K780" s="152"/>
      <c r="L780" s="114">
        <v>92.2</v>
      </c>
      <c r="M780" s="68">
        <f>SUM(L780*D780)/1000</f>
        <v>0.18440000000000001</v>
      </c>
    </row>
    <row r="781" spans="1:13" x14ac:dyDescent="0.25">
      <c r="A781" s="782"/>
      <c r="B781" s="433" t="s">
        <v>110</v>
      </c>
      <c r="C781" s="133"/>
      <c r="D781" s="13" t="s">
        <v>35</v>
      </c>
      <c r="E781" s="13">
        <v>52</v>
      </c>
      <c r="F781" s="102">
        <v>0</v>
      </c>
      <c r="G781" s="63">
        <v>0</v>
      </c>
      <c r="H781" s="63">
        <v>0</v>
      </c>
      <c r="I781" s="63">
        <v>0</v>
      </c>
      <c r="J781" s="96">
        <v>0</v>
      </c>
      <c r="K781" s="152"/>
      <c r="L781" s="114">
        <v>0</v>
      </c>
      <c r="M781" s="68"/>
    </row>
    <row r="782" spans="1:13" x14ac:dyDescent="0.25">
      <c r="A782" s="782"/>
      <c r="B782" s="428" t="s">
        <v>33</v>
      </c>
      <c r="C782" s="96"/>
      <c r="D782" s="63">
        <v>16</v>
      </c>
      <c r="E782" s="63">
        <v>16</v>
      </c>
      <c r="F782" s="102">
        <v>1.6479999999999999</v>
      </c>
      <c r="G782" s="63">
        <v>0.17599999999999999</v>
      </c>
      <c r="H782" s="63">
        <v>11.04</v>
      </c>
      <c r="I782" s="63">
        <v>53.44</v>
      </c>
      <c r="J782" s="96">
        <v>0</v>
      </c>
      <c r="K782" s="152"/>
      <c r="L782" s="114">
        <v>27.17</v>
      </c>
      <c r="M782" s="68">
        <f>SUM(L782*D782)/1000</f>
        <v>0.43472000000000005</v>
      </c>
    </row>
    <row r="783" spans="1:13" x14ac:dyDescent="0.25">
      <c r="A783" s="782"/>
      <c r="B783" s="428" t="s">
        <v>21</v>
      </c>
      <c r="C783" s="96"/>
      <c r="D783" s="63">
        <v>1.7</v>
      </c>
      <c r="E783" s="63">
        <v>1.7</v>
      </c>
      <c r="F783" s="102">
        <v>1.3599999999999999E-2</v>
      </c>
      <c r="G783" s="63">
        <v>1.232</v>
      </c>
      <c r="H783" s="63">
        <v>2.2100000000000002E-2</v>
      </c>
      <c r="I783" s="63">
        <v>11.237</v>
      </c>
      <c r="J783" s="96">
        <v>0</v>
      </c>
      <c r="K783" s="152"/>
      <c r="L783" s="114">
        <v>376.98</v>
      </c>
      <c r="M783" s="68">
        <f>SUM(L783*D783)/1000</f>
        <v>0.64086599999999994</v>
      </c>
    </row>
    <row r="784" spans="1:13" x14ac:dyDescent="0.25">
      <c r="A784" s="782"/>
      <c r="B784" s="428" t="s">
        <v>34</v>
      </c>
      <c r="C784" s="96"/>
      <c r="D784" s="63">
        <v>4.5</v>
      </c>
      <c r="E784" s="63" t="s">
        <v>215</v>
      </c>
      <c r="F784" s="102">
        <v>0.72299999999999998</v>
      </c>
      <c r="G784" s="63">
        <v>0.65500000000000003</v>
      </c>
      <c r="H784" s="63">
        <v>3.9899999999999998E-2</v>
      </c>
      <c r="I784" s="63">
        <v>8.9489999999999998</v>
      </c>
      <c r="J784" s="96">
        <v>0</v>
      </c>
      <c r="K784" s="152"/>
      <c r="L784" s="114">
        <v>4.6989999999999998</v>
      </c>
      <c r="M784" s="68">
        <f>SUM(L784*D784)/40</f>
        <v>0.52863749999999998</v>
      </c>
    </row>
    <row r="785" spans="1:13" x14ac:dyDescent="0.25">
      <c r="A785" s="782"/>
      <c r="B785" s="428" t="s">
        <v>111</v>
      </c>
      <c r="C785" s="96"/>
      <c r="D785" s="63">
        <v>25.1</v>
      </c>
      <c r="E785" s="63">
        <v>25.1</v>
      </c>
      <c r="F785" s="173">
        <v>0</v>
      </c>
      <c r="G785" s="107">
        <v>0</v>
      </c>
      <c r="H785" s="107">
        <v>0</v>
      </c>
      <c r="I785" s="107">
        <v>0</v>
      </c>
      <c r="J785" s="96">
        <v>0</v>
      </c>
      <c r="K785" s="152"/>
      <c r="L785" s="114">
        <v>43.22</v>
      </c>
      <c r="M785" s="68">
        <f>SUM(L785*D785)/1000</f>
        <v>1.0848220000000002</v>
      </c>
    </row>
    <row r="786" spans="1:13" x14ac:dyDescent="0.25">
      <c r="A786" s="782"/>
      <c r="B786" s="434" t="s">
        <v>96</v>
      </c>
      <c r="C786" s="96"/>
      <c r="D786" s="63" t="s">
        <v>35</v>
      </c>
      <c r="E786" s="63">
        <v>46.8</v>
      </c>
      <c r="F786" s="157">
        <v>0</v>
      </c>
      <c r="G786" s="157">
        <v>0</v>
      </c>
      <c r="H786" s="157">
        <v>0</v>
      </c>
      <c r="I786" s="157">
        <v>0</v>
      </c>
      <c r="J786" s="157">
        <v>0</v>
      </c>
      <c r="K786" s="174"/>
      <c r="L786" s="114">
        <v>0</v>
      </c>
      <c r="M786" s="68"/>
    </row>
    <row r="787" spans="1:13" x14ac:dyDescent="0.25">
      <c r="A787" s="782"/>
      <c r="B787" s="428" t="s">
        <v>112</v>
      </c>
      <c r="C787" s="96"/>
      <c r="D787" s="63">
        <v>1.2</v>
      </c>
      <c r="E787" s="63">
        <v>1.2</v>
      </c>
      <c r="F787" s="157">
        <v>0</v>
      </c>
      <c r="G787" s="157">
        <v>0</v>
      </c>
      <c r="H787" s="157">
        <v>0</v>
      </c>
      <c r="I787" s="157">
        <v>0</v>
      </c>
      <c r="J787" s="157">
        <v>0</v>
      </c>
      <c r="K787" s="174"/>
      <c r="L787" s="114">
        <v>16.62</v>
      </c>
      <c r="M787" s="68">
        <f>SUM(L787*D787)/1000</f>
        <v>1.9944E-2</v>
      </c>
    </row>
    <row r="788" spans="1:13" x14ac:dyDescent="0.25">
      <c r="A788" s="782"/>
      <c r="B788" s="428" t="s">
        <v>19</v>
      </c>
      <c r="C788" s="96"/>
      <c r="D788" s="63">
        <v>150</v>
      </c>
      <c r="E788" s="63">
        <v>150</v>
      </c>
      <c r="F788" s="202">
        <v>0</v>
      </c>
      <c r="G788" s="157">
        <v>0</v>
      </c>
      <c r="H788" s="157">
        <v>0</v>
      </c>
      <c r="I788" s="157">
        <v>0</v>
      </c>
      <c r="J788" s="53">
        <v>0</v>
      </c>
      <c r="K788" s="174"/>
      <c r="L788" s="114">
        <v>0</v>
      </c>
      <c r="M788" s="68">
        <f>SUM(L788*D788)/1000</f>
        <v>0</v>
      </c>
    </row>
    <row r="789" spans="1:13" x14ac:dyDescent="0.25">
      <c r="A789" s="782"/>
      <c r="B789" s="124"/>
      <c r="C789" s="124"/>
      <c r="D789" s="13"/>
      <c r="E789" s="13"/>
      <c r="F789" s="118">
        <f>SUM(F777:F788)</f>
        <v>3.4005999999999994</v>
      </c>
      <c r="G789" s="118">
        <f>SUM(G777:G788)</f>
        <v>4.2450000000000001</v>
      </c>
      <c r="H789" s="118">
        <f>SUM(H777:H787)</f>
        <v>18.829999999999995</v>
      </c>
      <c r="I789" s="118">
        <f>SUM(I777:I788)</f>
        <v>125.48599999999999</v>
      </c>
      <c r="J789" s="119">
        <f>SUM(J777:J788)</f>
        <v>9.2000000000000011</v>
      </c>
      <c r="K789" s="156"/>
      <c r="L789" s="65"/>
      <c r="M789" s="72">
        <f>SUM(M777:M788)</f>
        <v>4.6583234999999998</v>
      </c>
    </row>
    <row r="790" spans="1:13" ht="17.25" customHeight="1" x14ac:dyDescent="0.25">
      <c r="A790" s="782"/>
      <c r="B790" s="64"/>
      <c r="C790" s="64"/>
      <c r="D790" s="64"/>
      <c r="E790" s="64"/>
      <c r="F790" s="64"/>
      <c r="G790" s="64"/>
      <c r="H790" s="64"/>
      <c r="I790" s="64"/>
      <c r="J790" s="64"/>
      <c r="K790" s="64"/>
      <c r="L790" s="65"/>
      <c r="M790" s="64"/>
    </row>
    <row r="791" spans="1:13" x14ac:dyDescent="0.25">
      <c r="A791" s="782"/>
      <c r="B791" s="280" t="s">
        <v>389</v>
      </c>
      <c r="C791" s="635" t="s">
        <v>391</v>
      </c>
      <c r="D791" s="64"/>
      <c r="E791" s="64"/>
      <c r="F791" s="64"/>
      <c r="G791" s="64"/>
      <c r="H791" s="64"/>
      <c r="I791" s="64"/>
      <c r="J791" s="64"/>
      <c r="K791" s="64" t="s">
        <v>393</v>
      </c>
      <c r="L791" s="114">
        <v>230</v>
      </c>
      <c r="M791" s="68">
        <f>SUM(L791*D875)/1000</f>
        <v>21.321000000000002</v>
      </c>
    </row>
    <row r="792" spans="1:13" x14ac:dyDescent="0.25">
      <c r="A792" s="782"/>
      <c r="B792" s="64" t="s">
        <v>390</v>
      </c>
      <c r="C792" s="64"/>
      <c r="D792" s="636">
        <v>52</v>
      </c>
      <c r="E792" s="636">
        <v>38</v>
      </c>
      <c r="F792" s="63">
        <v>6.99</v>
      </c>
      <c r="G792" s="63">
        <v>6.0190000000000001</v>
      </c>
      <c r="H792" s="63">
        <v>0</v>
      </c>
      <c r="I792" s="63">
        <v>82.16</v>
      </c>
      <c r="J792" s="231">
        <v>0</v>
      </c>
      <c r="K792" s="64"/>
      <c r="L792" s="114">
        <v>21.98</v>
      </c>
      <c r="M792" s="68">
        <f>SUM(L792*D876)/1000</f>
        <v>0.19122600000000001</v>
      </c>
    </row>
    <row r="793" spans="1:13" x14ac:dyDescent="0.25">
      <c r="A793" s="782"/>
      <c r="B793" s="64" t="s">
        <v>272</v>
      </c>
      <c r="C793" s="65"/>
      <c r="D793" s="636">
        <v>3.5</v>
      </c>
      <c r="E793" s="636">
        <v>3.5</v>
      </c>
      <c r="F793" s="637">
        <f>7*E793/100</f>
        <v>0.245</v>
      </c>
      <c r="G793" s="637">
        <f>1*E793/100</f>
        <v>3.5000000000000003E-2</v>
      </c>
      <c r="H793" s="637">
        <f>71.4*E793/100</f>
        <v>2.4990000000000006</v>
      </c>
      <c r="I793" s="638">
        <f>330*E793/100</f>
        <v>11.55</v>
      </c>
      <c r="J793" s="639">
        <v>0</v>
      </c>
      <c r="K793" s="64"/>
      <c r="L793" s="114">
        <v>43.22</v>
      </c>
      <c r="M793" s="68">
        <f>SUM(L793*D877)/1000</f>
        <v>0.56618199999999996</v>
      </c>
    </row>
    <row r="794" spans="1:13" x14ac:dyDescent="0.25">
      <c r="A794" s="782"/>
      <c r="B794" s="64" t="s">
        <v>392</v>
      </c>
      <c r="C794" s="64"/>
      <c r="D794" s="636">
        <v>3.5</v>
      </c>
      <c r="E794" s="636">
        <v>3.5</v>
      </c>
      <c r="F794" s="63">
        <v>0</v>
      </c>
      <c r="G794" s="63">
        <v>0</v>
      </c>
      <c r="H794" s="63">
        <v>0</v>
      </c>
      <c r="I794" s="63">
        <v>0</v>
      </c>
      <c r="J794" s="231">
        <v>0</v>
      </c>
      <c r="K794" s="64"/>
      <c r="L794" s="114">
        <v>4.6989999999999998</v>
      </c>
      <c r="M794" s="68">
        <f>SUM(L794*D878)/40</f>
        <v>0.64611249999999998</v>
      </c>
    </row>
    <row r="795" spans="1:13" x14ac:dyDescent="0.25">
      <c r="A795" s="782"/>
      <c r="B795" s="64" t="s">
        <v>239</v>
      </c>
      <c r="C795" s="64"/>
      <c r="D795" s="636">
        <v>21</v>
      </c>
      <c r="E795" s="636">
        <v>18</v>
      </c>
      <c r="F795" s="63">
        <v>0.4</v>
      </c>
      <c r="G795" s="63">
        <v>0.05</v>
      </c>
      <c r="H795" s="63">
        <v>2.36</v>
      </c>
      <c r="I795" s="63">
        <v>11.8</v>
      </c>
      <c r="J795" s="231">
        <v>2.88</v>
      </c>
      <c r="K795" s="64"/>
      <c r="L795" s="185">
        <v>60.5</v>
      </c>
      <c r="M795" s="68">
        <f>SUM(L795*D879)/1000</f>
        <v>0.13310000000000002</v>
      </c>
    </row>
    <row r="796" spans="1:13" x14ac:dyDescent="0.25">
      <c r="A796" s="782"/>
      <c r="B796" s="64" t="s">
        <v>287</v>
      </c>
      <c r="C796" s="64"/>
      <c r="D796" s="636">
        <v>6</v>
      </c>
      <c r="E796" s="636">
        <v>6</v>
      </c>
      <c r="F796" s="423">
        <v>0</v>
      </c>
      <c r="G796" s="640">
        <v>0.29899999999999999</v>
      </c>
      <c r="H796" s="641">
        <v>0</v>
      </c>
      <c r="I796" s="352">
        <v>2.69</v>
      </c>
      <c r="J796" s="642">
        <v>0</v>
      </c>
      <c r="K796" s="64"/>
      <c r="L796" s="185">
        <v>92.2</v>
      </c>
      <c r="M796" s="68">
        <f>SUM(L796*D880)/1000</f>
        <v>0.12907999999999997</v>
      </c>
    </row>
    <row r="797" spans="1:13" x14ac:dyDescent="0.25">
      <c r="A797" s="782"/>
      <c r="B797" s="64" t="s">
        <v>291</v>
      </c>
      <c r="C797" s="64"/>
      <c r="D797" s="636">
        <v>4</v>
      </c>
      <c r="E797" s="636">
        <v>4</v>
      </c>
      <c r="F797" s="352">
        <f>10.3*E797/100</f>
        <v>0.41200000000000003</v>
      </c>
      <c r="G797" s="352">
        <f>1.1*E797/100</f>
        <v>4.4000000000000004E-2</v>
      </c>
      <c r="H797" s="352">
        <f>69*E797/100</f>
        <v>2.76</v>
      </c>
      <c r="I797" s="643">
        <f>334*E797/100</f>
        <v>13.36</v>
      </c>
      <c r="J797" s="644">
        <v>0</v>
      </c>
      <c r="K797" s="64"/>
      <c r="L797" s="185"/>
      <c r="M797" s="68"/>
    </row>
    <row r="798" spans="1:13" x14ac:dyDescent="0.25">
      <c r="A798" s="782"/>
      <c r="B798" s="64"/>
      <c r="C798" s="280"/>
      <c r="D798" s="64"/>
      <c r="E798" s="64"/>
      <c r="F798" s="636">
        <v>0</v>
      </c>
      <c r="G798" s="64">
        <v>0</v>
      </c>
      <c r="H798" s="64">
        <v>0</v>
      </c>
      <c r="I798" s="64">
        <v>0</v>
      </c>
      <c r="J798" s="64">
        <v>0</v>
      </c>
      <c r="K798" s="64"/>
      <c r="L798" s="114">
        <v>376.98</v>
      </c>
      <c r="M798" s="68">
        <f>SUM(L798*D882)/1000</f>
        <v>2.0733900000000003</v>
      </c>
    </row>
    <row r="799" spans="1:13" x14ac:dyDescent="0.25">
      <c r="A799" s="782"/>
      <c r="B799" s="64"/>
      <c r="C799" s="280"/>
      <c r="D799" s="64"/>
      <c r="E799" s="64"/>
      <c r="F799" s="636">
        <f>SUM(F792:F798)</f>
        <v>8.0470000000000006</v>
      </c>
      <c r="G799" s="64"/>
      <c r="H799" s="64"/>
      <c r="I799" s="64"/>
      <c r="J799" s="64"/>
      <c r="K799" s="64"/>
      <c r="L799" s="114"/>
      <c r="M799" s="68"/>
    </row>
    <row r="800" spans="1:13" x14ac:dyDescent="0.25">
      <c r="A800" s="782"/>
      <c r="B800" s="107"/>
      <c r="C800" s="107"/>
      <c r="D800" s="63"/>
      <c r="E800" s="63"/>
      <c r="F800" s="118">
        <f>SUM(F875:F879)</f>
        <v>8.2368000000000006</v>
      </c>
      <c r="G800" s="118">
        <f>SUM(G875:G879)</f>
        <v>8.7696000000000005</v>
      </c>
      <c r="H800" s="118">
        <f>SUM(H875:H879)</f>
        <v>7.0715999999999992</v>
      </c>
      <c r="I800" s="118">
        <f>SUM(I875:I879)</f>
        <v>140.97800000000001</v>
      </c>
      <c r="J800" s="118">
        <f>SUM(J875:J879)</f>
        <v>0.76400000000000001</v>
      </c>
      <c r="K800" s="153"/>
      <c r="L800" s="65"/>
      <c r="M800" s="72">
        <f>SUM(M791:M794)</f>
        <v>22.724520500000004</v>
      </c>
    </row>
    <row r="801" spans="1:13" x14ac:dyDescent="0.25">
      <c r="A801" s="782"/>
      <c r="B801" s="109" t="s">
        <v>160</v>
      </c>
      <c r="C801" s="124">
        <v>150</v>
      </c>
      <c r="D801" s="13"/>
      <c r="E801" s="13"/>
      <c r="F801" s="13"/>
      <c r="G801" s="13"/>
      <c r="H801" s="13"/>
      <c r="I801" s="13"/>
      <c r="J801" s="133"/>
      <c r="K801" s="125" t="s">
        <v>161</v>
      </c>
      <c r="L801" s="65"/>
      <c r="M801" s="64"/>
    </row>
    <row r="802" spans="1:13" x14ac:dyDescent="0.25">
      <c r="A802" s="782"/>
      <c r="B802" s="107" t="s">
        <v>122</v>
      </c>
      <c r="C802" s="107"/>
      <c r="D802" s="63">
        <v>143.80000000000001</v>
      </c>
      <c r="E802" s="63" t="s">
        <v>162</v>
      </c>
      <c r="F802" s="63">
        <v>1.85</v>
      </c>
      <c r="G802" s="63">
        <v>0.12</v>
      </c>
      <c r="H802" s="63">
        <v>10.88</v>
      </c>
      <c r="I802" s="63">
        <v>51.95</v>
      </c>
      <c r="J802" s="96">
        <v>12.3</v>
      </c>
      <c r="K802" s="253"/>
      <c r="L802" s="114">
        <v>31</v>
      </c>
      <c r="M802" s="68">
        <f t="shared" ref="M802:M807" si="45">SUM(L802*D802)/1000</f>
        <v>4.4577999999999998</v>
      </c>
    </row>
    <row r="803" spans="1:13" x14ac:dyDescent="0.25">
      <c r="A803" s="782"/>
      <c r="B803" s="107" t="s">
        <v>32</v>
      </c>
      <c r="C803" s="107"/>
      <c r="D803" s="63">
        <v>31.3</v>
      </c>
      <c r="E803" s="63">
        <v>26.2</v>
      </c>
      <c r="F803" s="63">
        <v>0.4</v>
      </c>
      <c r="G803" s="63">
        <v>0.05</v>
      </c>
      <c r="H803" s="63">
        <v>2.36</v>
      </c>
      <c r="I803" s="63">
        <v>11.8</v>
      </c>
      <c r="J803" s="96">
        <v>2.88</v>
      </c>
      <c r="K803" s="253"/>
      <c r="L803" s="114">
        <v>33</v>
      </c>
      <c r="M803" s="68">
        <f t="shared" si="45"/>
        <v>1.0329000000000002</v>
      </c>
    </row>
    <row r="804" spans="1:13" x14ac:dyDescent="0.25">
      <c r="A804" s="782"/>
      <c r="B804" s="107" t="s">
        <v>60</v>
      </c>
      <c r="C804" s="107"/>
      <c r="D804" s="63">
        <v>15</v>
      </c>
      <c r="E804" s="63">
        <v>15</v>
      </c>
      <c r="F804" s="63">
        <v>1.98</v>
      </c>
      <c r="G804" s="63">
        <v>0</v>
      </c>
      <c r="H804" s="63">
        <v>7.82</v>
      </c>
      <c r="I804" s="63">
        <v>42</v>
      </c>
      <c r="J804" s="96">
        <v>18.5</v>
      </c>
      <c r="K804" s="253"/>
      <c r="L804" s="114">
        <v>119</v>
      </c>
      <c r="M804" s="68">
        <f t="shared" si="45"/>
        <v>1.7849999999999999</v>
      </c>
    </row>
    <row r="805" spans="1:13" x14ac:dyDescent="0.25">
      <c r="A805" s="782"/>
      <c r="B805" s="107" t="s">
        <v>37</v>
      </c>
      <c r="C805" s="107"/>
      <c r="D805" s="63">
        <v>11</v>
      </c>
      <c r="E805" s="63">
        <v>11</v>
      </c>
      <c r="F805" s="63">
        <v>0</v>
      </c>
      <c r="G805" s="63">
        <v>12.28</v>
      </c>
      <c r="H805" s="63">
        <v>0</v>
      </c>
      <c r="I805" s="63">
        <v>110.57</v>
      </c>
      <c r="J805" s="96">
        <v>0</v>
      </c>
      <c r="K805" s="253"/>
      <c r="L805" s="114">
        <v>80</v>
      </c>
      <c r="M805" s="68">
        <f t="shared" si="45"/>
        <v>0.88</v>
      </c>
    </row>
    <row r="806" spans="1:13" x14ac:dyDescent="0.25">
      <c r="A806" s="782"/>
      <c r="B806" s="107" t="s">
        <v>112</v>
      </c>
      <c r="C806" s="107"/>
      <c r="D806" s="63">
        <v>1</v>
      </c>
      <c r="E806" s="63">
        <v>1</v>
      </c>
      <c r="F806" s="63">
        <v>0</v>
      </c>
      <c r="G806" s="63">
        <v>0</v>
      </c>
      <c r="H806" s="63">
        <v>0</v>
      </c>
      <c r="I806" s="63">
        <v>0</v>
      </c>
      <c r="J806" s="96">
        <v>0</v>
      </c>
      <c r="K806" s="253"/>
      <c r="L806" s="114">
        <v>16</v>
      </c>
      <c r="M806" s="68">
        <f t="shared" si="45"/>
        <v>1.6E-2</v>
      </c>
    </row>
    <row r="807" spans="1:13" x14ac:dyDescent="0.25">
      <c r="A807" s="782"/>
      <c r="B807" s="107" t="s">
        <v>49</v>
      </c>
      <c r="C807" s="107"/>
      <c r="D807" s="63">
        <v>1.75</v>
      </c>
      <c r="E807" s="63">
        <v>1.75</v>
      </c>
      <c r="F807" s="63">
        <v>0</v>
      </c>
      <c r="G807" s="63">
        <v>0</v>
      </c>
      <c r="H807" s="63">
        <v>1.99</v>
      </c>
      <c r="I807" s="63">
        <v>7.58</v>
      </c>
      <c r="J807" s="96">
        <v>0</v>
      </c>
      <c r="K807" s="253"/>
      <c r="L807" s="114">
        <v>50</v>
      </c>
      <c r="M807" s="68">
        <f t="shared" si="45"/>
        <v>8.7499999999999994E-2</v>
      </c>
    </row>
    <row r="808" spans="1:13" x14ac:dyDescent="0.25">
      <c r="A808" s="782"/>
      <c r="B808" s="109"/>
      <c r="C808" s="124"/>
      <c r="D808" s="13"/>
      <c r="E808" s="13"/>
      <c r="F808" s="118">
        <v>2.7669999999999999</v>
      </c>
      <c r="G808" s="118">
        <v>10.99</v>
      </c>
      <c r="H808" s="118">
        <v>16.600999999999999</v>
      </c>
      <c r="I808" s="118">
        <v>170.011</v>
      </c>
      <c r="J808" s="139">
        <v>20.57</v>
      </c>
      <c r="K808" s="153"/>
      <c r="L808" s="65"/>
      <c r="M808" s="72">
        <f>SUM(M802:M807)</f>
        <v>8.2592000000000017</v>
      </c>
    </row>
    <row r="809" spans="1:13" x14ac:dyDescent="0.25">
      <c r="A809" s="782"/>
      <c r="B809" s="138" t="s">
        <v>180</v>
      </c>
      <c r="C809" s="124">
        <v>180</v>
      </c>
      <c r="D809" s="13"/>
      <c r="E809" s="13"/>
      <c r="F809" s="63"/>
      <c r="G809" s="63"/>
      <c r="H809" s="63"/>
      <c r="I809" s="63"/>
      <c r="J809" s="96"/>
      <c r="K809" s="108" t="s">
        <v>181</v>
      </c>
      <c r="L809" s="65"/>
      <c r="M809" s="64"/>
    </row>
    <row r="810" spans="1:13" ht="17.25" customHeight="1" x14ac:dyDescent="0.25">
      <c r="A810" s="782"/>
      <c r="B810" s="107" t="s">
        <v>182</v>
      </c>
      <c r="C810" s="107"/>
      <c r="D810" s="63">
        <v>18</v>
      </c>
      <c r="E810" s="63" t="s">
        <v>183</v>
      </c>
      <c r="F810" s="63">
        <v>0.93600000000000005</v>
      </c>
      <c r="G810" s="63">
        <v>5.3999999999999999E-2</v>
      </c>
      <c r="H810" s="63">
        <v>9.18</v>
      </c>
      <c r="I810" s="63">
        <v>41.76</v>
      </c>
      <c r="J810" s="96">
        <v>0.72</v>
      </c>
      <c r="K810" s="136"/>
      <c r="L810" s="114">
        <v>90</v>
      </c>
      <c r="M810" s="68">
        <f>SUM(L810*D810)/1000</f>
        <v>1.62</v>
      </c>
    </row>
    <row r="811" spans="1:13" x14ac:dyDescent="0.25">
      <c r="A811" s="782"/>
      <c r="B811" s="107" t="s">
        <v>38</v>
      </c>
      <c r="C811" s="107"/>
      <c r="D811" s="63">
        <v>14.4</v>
      </c>
      <c r="E811" s="63">
        <v>14.4</v>
      </c>
      <c r="F811" s="63">
        <v>0</v>
      </c>
      <c r="G811" s="63">
        <v>0</v>
      </c>
      <c r="H811" s="63">
        <v>14.371</v>
      </c>
      <c r="I811" s="63">
        <v>54.576000000000001</v>
      </c>
      <c r="J811" s="96">
        <v>0</v>
      </c>
      <c r="K811" s="136"/>
      <c r="L811" s="114">
        <v>50</v>
      </c>
      <c r="M811" s="68">
        <f>SUM(L811*D811)/1000</f>
        <v>0.72</v>
      </c>
    </row>
    <row r="812" spans="1:13" x14ac:dyDescent="0.25">
      <c r="A812" s="782"/>
      <c r="B812" s="107" t="s">
        <v>19</v>
      </c>
      <c r="C812" s="107"/>
      <c r="D812" s="63">
        <v>182.7</v>
      </c>
      <c r="E812" s="63">
        <v>182.7</v>
      </c>
      <c r="F812" s="63">
        <v>0</v>
      </c>
      <c r="G812" s="63">
        <v>0</v>
      </c>
      <c r="H812" s="63">
        <v>0</v>
      </c>
      <c r="I812" s="63">
        <v>0</v>
      </c>
      <c r="J812" s="96">
        <v>0</v>
      </c>
      <c r="K812" s="136"/>
      <c r="L812" s="114">
        <v>0</v>
      </c>
      <c r="M812" s="68">
        <f>SUM(L812*D812)/1000</f>
        <v>0</v>
      </c>
    </row>
    <row r="813" spans="1:13" x14ac:dyDescent="0.25">
      <c r="A813" s="782"/>
      <c r="B813" s="107"/>
      <c r="C813" s="107"/>
      <c r="D813" s="63"/>
      <c r="E813" s="63"/>
      <c r="F813" s="118">
        <f>SUM(F810:F812)</f>
        <v>0.93600000000000005</v>
      </c>
      <c r="G813" s="118">
        <f t="shared" ref="G813:J813" si="46">SUM(G810:G812)</f>
        <v>5.3999999999999999E-2</v>
      </c>
      <c r="H813" s="118">
        <f t="shared" si="46"/>
        <v>23.551000000000002</v>
      </c>
      <c r="I813" s="118">
        <f t="shared" si="46"/>
        <v>96.335999999999999</v>
      </c>
      <c r="J813" s="118">
        <f t="shared" si="46"/>
        <v>0.72</v>
      </c>
      <c r="K813" s="153"/>
      <c r="L813" s="114"/>
      <c r="M813" s="72">
        <f>SUM(M810:M812)</f>
        <v>2.34</v>
      </c>
    </row>
    <row r="814" spans="1:13" x14ac:dyDescent="0.25">
      <c r="A814" s="782"/>
      <c r="B814" s="109" t="s">
        <v>39</v>
      </c>
      <c r="C814" s="124">
        <v>40</v>
      </c>
      <c r="D814" s="63">
        <v>40</v>
      </c>
      <c r="E814" s="63">
        <v>40</v>
      </c>
      <c r="F814" s="118">
        <v>2.64</v>
      </c>
      <c r="G814" s="118">
        <v>0.48</v>
      </c>
      <c r="H814" s="118">
        <v>13.68</v>
      </c>
      <c r="I814" s="118">
        <v>72.400000000000006</v>
      </c>
      <c r="J814" s="139">
        <v>0</v>
      </c>
      <c r="K814" s="153" t="s">
        <v>73</v>
      </c>
      <c r="L814" s="114">
        <v>40</v>
      </c>
      <c r="M814" s="72">
        <f>SUM(L814*D814)/1000</f>
        <v>1.6</v>
      </c>
    </row>
    <row r="815" spans="1:13" x14ac:dyDescent="0.25">
      <c r="A815" s="782"/>
      <c r="B815" s="109" t="s">
        <v>40</v>
      </c>
      <c r="C815" s="124">
        <v>40</v>
      </c>
      <c r="D815" s="63">
        <v>40</v>
      </c>
      <c r="E815" s="63">
        <v>40</v>
      </c>
      <c r="F815" s="118">
        <v>3.85</v>
      </c>
      <c r="G815" s="118">
        <v>1.5</v>
      </c>
      <c r="H815" s="118">
        <v>24.9</v>
      </c>
      <c r="I815" s="118">
        <v>131</v>
      </c>
      <c r="J815" s="139">
        <v>0</v>
      </c>
      <c r="K815" s="153" t="s">
        <v>73</v>
      </c>
      <c r="L815" s="114">
        <v>35</v>
      </c>
      <c r="M815" s="72">
        <f>SUM(L815*D815)/1000</f>
        <v>1.4</v>
      </c>
    </row>
    <row r="816" spans="1:13" x14ac:dyDescent="0.25">
      <c r="A816" s="783"/>
      <c r="B816" s="124" t="s">
        <v>74</v>
      </c>
      <c r="C816" s="227"/>
      <c r="D816" s="102"/>
      <c r="E816" s="63"/>
      <c r="F816" s="142">
        <f>SUM(F789,F800,F808,F813:F815)</f>
        <v>21.830400000000001</v>
      </c>
      <c r="G816" s="142">
        <f>SUM(G789,G800,G808,G813:G815)</f>
        <v>26.038600000000002</v>
      </c>
      <c r="H816" s="142">
        <f>SUM(H789,H800,H808,H813:H815)</f>
        <v>104.6336</v>
      </c>
      <c r="I816" s="142">
        <f>SUM(I789,I800,I808,I813:I815)</f>
        <v>736.21100000000001</v>
      </c>
      <c r="J816" s="143">
        <f>SUM(J789,J800,J808,J813:J815)</f>
        <v>31.253999999999998</v>
      </c>
      <c r="K816" s="234"/>
      <c r="L816" s="235"/>
      <c r="M816" s="36">
        <f>SUM(M789,M800,M808,M813:M815)</f>
        <v>40.982044000000002</v>
      </c>
    </row>
    <row r="817" spans="1:13" x14ac:dyDescent="0.25">
      <c r="A817" s="5" t="s">
        <v>75</v>
      </c>
      <c r="B817" s="13"/>
      <c r="C817" s="4"/>
      <c r="D817" s="105"/>
      <c r="E817" s="106"/>
      <c r="F817" s="228"/>
      <c r="G817" s="228"/>
      <c r="H817" s="228"/>
      <c r="I817" s="228"/>
      <c r="J817" s="229"/>
      <c r="K817" s="153"/>
      <c r="L817" s="65"/>
      <c r="M817" s="64"/>
    </row>
    <row r="818" spans="1:13" x14ac:dyDescent="0.25">
      <c r="A818" s="781"/>
      <c r="B818" s="338" t="s">
        <v>378</v>
      </c>
      <c r="C818" s="363">
        <v>60</v>
      </c>
      <c r="D818" s="340"/>
      <c r="E818" s="345"/>
      <c r="F818" s="424">
        <v>3.7</v>
      </c>
      <c r="G818" s="425">
        <v>1.8</v>
      </c>
      <c r="H818" s="389">
        <v>32.1</v>
      </c>
      <c r="I818" s="341">
        <v>159</v>
      </c>
      <c r="J818" s="338">
        <v>0</v>
      </c>
      <c r="K818" s="155"/>
      <c r="L818" s="65"/>
      <c r="M818" s="64"/>
    </row>
    <row r="819" spans="1:13" x14ac:dyDescent="0.25">
      <c r="A819" s="782"/>
      <c r="B819" s="342" t="s">
        <v>379</v>
      </c>
      <c r="C819" s="343"/>
      <c r="D819" s="340">
        <v>27.5</v>
      </c>
      <c r="E819" s="345">
        <v>27.5</v>
      </c>
      <c r="F819" s="366">
        <v>2.8319999999999999</v>
      </c>
      <c r="G819" s="421">
        <v>0.3</v>
      </c>
      <c r="H819" s="406">
        <v>8.25</v>
      </c>
      <c r="I819" s="340">
        <v>91.85</v>
      </c>
      <c r="J819" s="342"/>
      <c r="K819" s="155"/>
      <c r="L819" s="65"/>
      <c r="M819" s="64"/>
    </row>
    <row r="820" spans="1:13" x14ac:dyDescent="0.25">
      <c r="A820" s="782"/>
      <c r="B820" s="342" t="s">
        <v>20</v>
      </c>
      <c r="C820" s="343"/>
      <c r="D820" s="340">
        <v>2</v>
      </c>
      <c r="E820" s="345">
        <v>2</v>
      </c>
      <c r="F820" s="366">
        <v>2</v>
      </c>
      <c r="G820" s="421">
        <v>0</v>
      </c>
      <c r="H820" s="406">
        <v>0</v>
      </c>
      <c r="I820" s="340">
        <v>1.996</v>
      </c>
      <c r="J820" s="342">
        <v>7.58</v>
      </c>
      <c r="K820" s="155"/>
      <c r="L820" s="65"/>
      <c r="M820" s="64"/>
    </row>
    <row r="821" spans="1:13" x14ac:dyDescent="0.25">
      <c r="A821" s="782"/>
      <c r="B821" s="342" t="s">
        <v>288</v>
      </c>
      <c r="C821" s="343"/>
      <c r="D821" s="340">
        <v>3</v>
      </c>
      <c r="E821" s="345">
        <v>3</v>
      </c>
      <c r="F821" s="366">
        <v>0.38100000000000001</v>
      </c>
      <c r="G821" s="421">
        <v>0.34499999999999997</v>
      </c>
      <c r="H821" s="406">
        <v>2.1000000000000001E-2</v>
      </c>
      <c r="I821" s="340">
        <v>4.71</v>
      </c>
      <c r="J821" s="342">
        <v>0</v>
      </c>
      <c r="K821" s="155"/>
      <c r="L821" s="65"/>
      <c r="M821" s="64"/>
    </row>
    <row r="822" spans="1:13" x14ac:dyDescent="0.25">
      <c r="A822" s="782"/>
      <c r="B822" s="342" t="s">
        <v>387</v>
      </c>
      <c r="C822" s="343"/>
      <c r="D822" s="340" t="s">
        <v>386</v>
      </c>
      <c r="E822" s="619">
        <v>41275</v>
      </c>
      <c r="F822" s="366">
        <v>0.38100000000000001</v>
      </c>
      <c r="G822" s="421">
        <v>0.34499999999999997</v>
      </c>
      <c r="H822" s="406">
        <v>2.1000000000000001E-2</v>
      </c>
      <c r="I822" s="340">
        <v>4.71</v>
      </c>
      <c r="J822" s="342">
        <v>0</v>
      </c>
      <c r="K822" s="155"/>
      <c r="L822" s="65"/>
      <c r="M822" s="64"/>
    </row>
    <row r="823" spans="1:13" x14ac:dyDescent="0.25">
      <c r="A823" s="782"/>
      <c r="B823" s="342" t="s">
        <v>112</v>
      </c>
      <c r="C823" s="343"/>
      <c r="D823" s="340">
        <v>0.3</v>
      </c>
      <c r="E823" s="345">
        <v>0.3</v>
      </c>
      <c r="F823" s="366">
        <v>0</v>
      </c>
      <c r="G823" s="421">
        <v>0</v>
      </c>
      <c r="H823" s="406">
        <v>0</v>
      </c>
      <c r="I823" s="340">
        <v>0</v>
      </c>
      <c r="J823" s="342">
        <v>0</v>
      </c>
      <c r="K823" s="155"/>
      <c r="L823" s="65"/>
      <c r="M823" s="64"/>
    </row>
    <row r="824" spans="1:13" x14ac:dyDescent="0.25">
      <c r="A824" s="782"/>
      <c r="B824" s="342" t="s">
        <v>380</v>
      </c>
      <c r="C824" s="343"/>
      <c r="D824" s="340" t="s">
        <v>381</v>
      </c>
      <c r="E824" s="345" t="s">
        <v>381</v>
      </c>
      <c r="F824" s="366">
        <v>0</v>
      </c>
      <c r="G824" s="421">
        <v>0</v>
      </c>
      <c r="H824" s="406">
        <v>0</v>
      </c>
      <c r="I824" s="340">
        <v>0</v>
      </c>
      <c r="J824" s="342">
        <v>0</v>
      </c>
      <c r="K824" s="155"/>
      <c r="L824" s="65"/>
      <c r="M824" s="64"/>
    </row>
    <row r="825" spans="1:13" x14ac:dyDescent="0.25">
      <c r="A825" s="782"/>
      <c r="B825" s="342" t="s">
        <v>385</v>
      </c>
      <c r="C825" s="343"/>
      <c r="D825" s="340">
        <v>7.3</v>
      </c>
      <c r="E825" s="345">
        <v>7.3</v>
      </c>
      <c r="F825" s="366">
        <v>0.20399999999999999</v>
      </c>
      <c r="G825" s="421">
        <v>0.23300000000000001</v>
      </c>
      <c r="H825" s="406">
        <v>0.34300000000000003</v>
      </c>
      <c r="I825" s="340">
        <v>4.2300000000000004</v>
      </c>
      <c r="J825" s="342">
        <v>9.4E-2</v>
      </c>
      <c r="K825" s="155"/>
      <c r="L825" s="65"/>
      <c r="M825" s="64"/>
    </row>
    <row r="826" spans="1:13" x14ac:dyDescent="0.25">
      <c r="A826" s="782"/>
      <c r="B826" s="342" t="s">
        <v>96</v>
      </c>
      <c r="C826" s="343"/>
      <c r="D826" s="340"/>
      <c r="E826" s="345">
        <v>43</v>
      </c>
      <c r="F826" s="366">
        <v>0</v>
      </c>
      <c r="G826" s="421">
        <v>0</v>
      </c>
      <c r="H826" s="406">
        <v>0</v>
      </c>
      <c r="I826" s="340">
        <v>0</v>
      </c>
      <c r="J826" s="342">
        <v>0</v>
      </c>
      <c r="K826" s="152"/>
      <c r="L826" s="114"/>
      <c r="M826" s="68"/>
    </row>
    <row r="827" spans="1:13" x14ac:dyDescent="0.25">
      <c r="A827" s="782"/>
      <c r="B827" s="342" t="s">
        <v>97</v>
      </c>
      <c r="C827" s="343"/>
      <c r="D827" s="340">
        <v>1.3</v>
      </c>
      <c r="E827" s="345">
        <v>1.3</v>
      </c>
      <c r="F827" s="366">
        <v>0.13300000000000001</v>
      </c>
      <c r="G827" s="421">
        <v>0.01</v>
      </c>
      <c r="H827" s="406">
        <v>0.75900000000000001</v>
      </c>
      <c r="I827" s="340">
        <v>4.3419999999999996</v>
      </c>
      <c r="J827" s="342">
        <v>0</v>
      </c>
      <c r="K827" s="152"/>
      <c r="L827" s="114"/>
      <c r="M827" s="68"/>
    </row>
    <row r="828" spans="1:13" x14ac:dyDescent="0.25">
      <c r="A828" s="782"/>
      <c r="B828" s="597" t="s">
        <v>382</v>
      </c>
      <c r="C828" s="363">
        <v>30</v>
      </c>
      <c r="D828" s="386">
        <v>25.25</v>
      </c>
      <c r="E828" s="447">
        <v>25</v>
      </c>
      <c r="F828" s="366">
        <v>0</v>
      </c>
      <c r="G828" s="421">
        <v>0</v>
      </c>
      <c r="H828" s="406">
        <v>0</v>
      </c>
      <c r="I828" s="340">
        <v>0</v>
      </c>
      <c r="J828" s="342">
        <v>0</v>
      </c>
      <c r="K828" s="152"/>
      <c r="L828" s="114"/>
      <c r="M828" s="68"/>
    </row>
    <row r="829" spans="1:13" x14ac:dyDescent="0.25">
      <c r="A829" s="782"/>
      <c r="B829" s="342" t="s">
        <v>36</v>
      </c>
      <c r="C829" s="415"/>
      <c r="D829" s="598">
        <v>18</v>
      </c>
      <c r="E829" s="599">
        <v>18</v>
      </c>
      <c r="F829" s="366">
        <v>0.3</v>
      </c>
      <c r="G829" s="421">
        <v>0.11</v>
      </c>
      <c r="H829" s="406">
        <v>1E-3</v>
      </c>
      <c r="I829" s="340">
        <v>3.0000000000000001E-3</v>
      </c>
      <c r="J829" s="342">
        <v>0</v>
      </c>
      <c r="K829" s="152"/>
      <c r="L829" s="114"/>
      <c r="M829" s="68"/>
    </row>
    <row r="830" spans="1:13" x14ac:dyDescent="0.25">
      <c r="A830" s="782"/>
      <c r="B830" s="342" t="s">
        <v>32</v>
      </c>
      <c r="C830" s="415"/>
      <c r="D830" s="612">
        <v>7.25</v>
      </c>
      <c r="E830" s="620">
        <v>7.25</v>
      </c>
      <c r="F830" s="366">
        <v>0</v>
      </c>
      <c r="G830" s="421">
        <v>0</v>
      </c>
      <c r="H830" s="406">
        <v>0</v>
      </c>
      <c r="I830" s="340">
        <v>0</v>
      </c>
      <c r="J830" s="342">
        <v>0</v>
      </c>
      <c r="K830" s="152"/>
      <c r="L830" s="114"/>
      <c r="M830" s="68"/>
    </row>
    <row r="831" spans="1:13" ht="18" customHeight="1" x14ac:dyDescent="0.25">
      <c r="A831" s="782"/>
      <c r="B831" s="342" t="s">
        <v>383</v>
      </c>
      <c r="C831" s="415"/>
      <c r="D831" s="366">
        <v>0.2</v>
      </c>
      <c r="E831" s="621">
        <v>0.2</v>
      </c>
      <c r="F831" s="366">
        <v>0</v>
      </c>
      <c r="G831" s="421">
        <v>0.29899999999999999</v>
      </c>
      <c r="H831" s="406">
        <v>0</v>
      </c>
      <c r="I831" s="340">
        <v>2.69</v>
      </c>
      <c r="J831" s="342">
        <v>0</v>
      </c>
      <c r="K831" s="152"/>
      <c r="L831" s="114"/>
      <c r="M831" s="68"/>
    </row>
    <row r="832" spans="1:13" x14ac:dyDescent="0.25">
      <c r="A832" s="782"/>
      <c r="B832" s="342"/>
      <c r="C832" s="343"/>
      <c r="D832" s="391"/>
      <c r="E832" s="391"/>
      <c r="F832" s="626">
        <f>SUM(F819:F831)</f>
        <v>6.2309999999999999</v>
      </c>
      <c r="G832" s="627">
        <f>SUM(G819:G831)</f>
        <v>1.6420000000000001</v>
      </c>
      <c r="H832" s="628">
        <f>SUM(H819:H831)</f>
        <v>9.3950000000000014</v>
      </c>
      <c r="I832" s="628">
        <f>SUM(I819:I831)</f>
        <v>114.53099999999998</v>
      </c>
      <c r="J832" s="629">
        <f>SUM(J819:J831)</f>
        <v>7.6740000000000004</v>
      </c>
      <c r="K832" s="152"/>
      <c r="L832" s="114"/>
      <c r="M832" s="68"/>
    </row>
    <row r="833" spans="1:13" x14ac:dyDescent="0.25">
      <c r="A833" s="782"/>
      <c r="B833" s="404"/>
      <c r="C833" s="613"/>
      <c r="D833" s="391"/>
      <c r="E833" s="391"/>
      <c r="F833" s="404"/>
      <c r="G833" s="613"/>
      <c r="H833" s="391"/>
      <c r="I833" s="392"/>
      <c r="J833" s="614"/>
      <c r="K833" s="615"/>
      <c r="L833" s="114"/>
      <c r="M833" s="68"/>
    </row>
    <row r="834" spans="1:13" x14ac:dyDescent="0.25">
      <c r="A834" s="782"/>
      <c r="B834" s="410" t="s">
        <v>355</v>
      </c>
      <c r="C834" s="390">
        <v>200</v>
      </c>
      <c r="D834" s="391"/>
      <c r="E834" s="340"/>
      <c r="F834" s="616">
        <v>0</v>
      </c>
      <c r="G834" s="616">
        <v>0</v>
      </c>
      <c r="H834" s="616">
        <v>19.98</v>
      </c>
      <c r="I834" s="617">
        <v>104</v>
      </c>
      <c r="J834" s="618">
        <v>0.24</v>
      </c>
      <c r="K834" s="485" t="s">
        <v>356</v>
      </c>
      <c r="L834" s="65"/>
      <c r="M834" s="280"/>
    </row>
    <row r="835" spans="1:13" x14ac:dyDescent="0.25">
      <c r="A835" s="782"/>
      <c r="B835" s="342" t="s">
        <v>357</v>
      </c>
      <c r="C835" s="343"/>
      <c r="D835" s="340">
        <v>60</v>
      </c>
      <c r="E835" s="340">
        <v>60</v>
      </c>
      <c r="F835" s="340">
        <v>0</v>
      </c>
      <c r="G835" s="340">
        <v>0</v>
      </c>
      <c r="H835" s="340">
        <v>0</v>
      </c>
      <c r="I835" s="345">
        <v>28.2</v>
      </c>
      <c r="J835" s="346">
        <v>0.04</v>
      </c>
      <c r="K835" s="480"/>
      <c r="L835" s="114">
        <v>100</v>
      </c>
      <c r="M835" s="68">
        <f>SUM(L835*D835)/1000</f>
        <v>6</v>
      </c>
    </row>
    <row r="836" spans="1:13" x14ac:dyDescent="0.25">
      <c r="A836" s="782"/>
      <c r="B836" s="342" t="s">
        <v>230</v>
      </c>
      <c r="C836" s="343"/>
      <c r="D836" s="340">
        <v>24</v>
      </c>
      <c r="E836" s="340">
        <v>24</v>
      </c>
      <c r="F836" s="340">
        <v>0</v>
      </c>
      <c r="G836" s="340">
        <v>0</v>
      </c>
      <c r="H836" s="340">
        <v>19.98</v>
      </c>
      <c r="I836" s="345">
        <v>75.8</v>
      </c>
      <c r="J836" s="346">
        <v>0</v>
      </c>
      <c r="K836" s="480"/>
      <c r="L836" s="114">
        <v>50.7</v>
      </c>
      <c r="M836" s="68">
        <f>SUM(L836*D836)/1000</f>
        <v>1.2168000000000001</v>
      </c>
    </row>
    <row r="837" spans="1:13" x14ac:dyDescent="0.25">
      <c r="A837" s="782"/>
      <c r="B837" s="342" t="s">
        <v>311</v>
      </c>
      <c r="C837" s="343"/>
      <c r="D837" s="340">
        <v>10</v>
      </c>
      <c r="E837" s="340">
        <v>10</v>
      </c>
      <c r="F837" s="340">
        <v>0</v>
      </c>
      <c r="G837" s="340">
        <v>0</v>
      </c>
      <c r="H837" s="340">
        <v>0</v>
      </c>
      <c r="I837" s="345">
        <v>0</v>
      </c>
      <c r="J837" s="346">
        <v>0</v>
      </c>
      <c r="K837" s="480"/>
      <c r="L837" s="114">
        <v>0</v>
      </c>
      <c r="M837" s="68">
        <f>SUM(L837*D837)/1000</f>
        <v>0</v>
      </c>
    </row>
    <row r="838" spans="1:13" x14ac:dyDescent="0.25">
      <c r="A838" s="782"/>
      <c r="B838" s="342" t="s">
        <v>229</v>
      </c>
      <c r="C838" s="343"/>
      <c r="D838" s="340">
        <v>140</v>
      </c>
      <c r="E838" s="340">
        <v>140</v>
      </c>
      <c r="F838" s="340">
        <v>0</v>
      </c>
      <c r="G838" s="340">
        <v>0</v>
      </c>
      <c r="H838" s="340">
        <v>0</v>
      </c>
      <c r="I838" s="345">
        <v>0</v>
      </c>
      <c r="J838" s="346">
        <v>0</v>
      </c>
      <c r="K838" s="480"/>
      <c r="L838" s="114"/>
      <c r="M838" s="72">
        <f>SUM(M835:M837)</f>
        <v>7.2168000000000001</v>
      </c>
    </row>
    <row r="839" spans="1:13" x14ac:dyDescent="0.25">
      <c r="A839" s="782"/>
      <c r="B839" s="107"/>
      <c r="C839" s="107"/>
      <c r="D839" s="63"/>
      <c r="E839" s="63"/>
      <c r="F839" s="118">
        <f>SUM(F835:F838)</f>
        <v>0</v>
      </c>
      <c r="G839" s="118">
        <f>SUM(G835:G838)</f>
        <v>0</v>
      </c>
      <c r="H839" s="118">
        <f>SUM(H835:H838)</f>
        <v>19.98</v>
      </c>
      <c r="I839" s="118">
        <f>SUM(I835:I838)</f>
        <v>104</v>
      </c>
      <c r="J839" s="118">
        <f>SUM(J835:J838)</f>
        <v>0.04</v>
      </c>
      <c r="K839" s="153"/>
      <c r="L839" s="65"/>
      <c r="M839" s="72"/>
    </row>
    <row r="840" spans="1:13" x14ac:dyDescent="0.25">
      <c r="A840" s="783"/>
      <c r="B840" s="124" t="s">
        <v>46</v>
      </c>
      <c r="C840" s="124"/>
      <c r="D840" s="63"/>
      <c r="E840" s="63"/>
      <c r="F840" s="142">
        <f>F832+F839</f>
        <v>6.2309999999999999</v>
      </c>
      <c r="G840" s="142">
        <f>G832+G839</f>
        <v>1.6420000000000001</v>
      </c>
      <c r="H840" s="142">
        <f>H832+H839</f>
        <v>29.375</v>
      </c>
      <c r="I840" s="142">
        <f>I832+I839</f>
        <v>218.53099999999998</v>
      </c>
      <c r="J840" s="143">
        <f>J832+J839</f>
        <v>7.7140000000000004</v>
      </c>
      <c r="K840" s="158"/>
      <c r="L840" s="65"/>
      <c r="M840" s="71"/>
    </row>
    <row r="841" spans="1:13" x14ac:dyDescent="0.25">
      <c r="A841" s="593" t="s">
        <v>164</v>
      </c>
      <c r="B841" s="146"/>
      <c r="C841" s="22"/>
      <c r="D841" s="23"/>
      <c r="E841" s="23"/>
      <c r="F841" s="11">
        <f>F774+F816+F840</f>
        <v>36.476399999999998</v>
      </c>
      <c r="G841" s="11">
        <f>G774+G816+G840</f>
        <v>36.710600000000007</v>
      </c>
      <c r="H841" s="11">
        <f>H774+H816+H840</f>
        <v>183.38230000000001</v>
      </c>
      <c r="I841" s="11">
        <f>I774+I816+I840</f>
        <v>1256.1404</v>
      </c>
      <c r="J841" s="11">
        <f>J774+J816+J840</f>
        <v>41.389999999999993</v>
      </c>
      <c r="K841" s="30"/>
      <c r="L841" s="32"/>
      <c r="M841" s="33"/>
    </row>
    <row r="842" spans="1:13" x14ac:dyDescent="0.25">
      <c r="A842" s="5" t="s">
        <v>165</v>
      </c>
      <c r="B842" s="13"/>
      <c r="C842" s="13"/>
      <c r="D842" s="63"/>
      <c r="E842" s="63"/>
      <c r="F842" s="13"/>
      <c r="G842" s="13"/>
      <c r="H842" s="13"/>
      <c r="I842" s="13"/>
      <c r="J842" s="96"/>
      <c r="K842" s="155"/>
      <c r="L842" s="65"/>
      <c r="M842" s="64"/>
    </row>
    <row r="843" spans="1:13" x14ac:dyDescent="0.25">
      <c r="A843" s="5" t="s">
        <v>16</v>
      </c>
      <c r="B843" s="13"/>
      <c r="C843" s="4"/>
      <c r="D843" s="105"/>
      <c r="E843" s="106"/>
      <c r="F843" s="63"/>
      <c r="G843" s="63"/>
      <c r="H843" s="63"/>
      <c r="I843" s="63"/>
      <c r="J843" s="96"/>
      <c r="K843" s="155"/>
      <c r="L843" s="65"/>
      <c r="M843" s="64"/>
    </row>
    <row r="844" spans="1:13" x14ac:dyDescent="0.25">
      <c r="A844" s="781"/>
      <c r="B844" s="362" t="s">
        <v>270</v>
      </c>
      <c r="C844" s="363">
        <v>200</v>
      </c>
      <c r="D844" s="340"/>
      <c r="E844" s="340"/>
      <c r="F844" s="400">
        <f>F845+F846+F847+F848+F849</f>
        <v>4.7249999999999996</v>
      </c>
      <c r="G844" s="400">
        <f>G845+G846+G847+G848+G849</f>
        <v>3.335</v>
      </c>
      <c r="H844" s="400">
        <f>H845+H846+H847+H848+H849</f>
        <v>40.328000000000003</v>
      </c>
      <c r="I844" s="400">
        <f>I845+I846+I847+I848+I849</f>
        <v>209.85</v>
      </c>
      <c r="J844" s="400">
        <f>J845+J846+J847+J848+J849</f>
        <v>1.2350000000000001</v>
      </c>
      <c r="K844" s="479" t="s">
        <v>271</v>
      </c>
      <c r="L844" s="65"/>
      <c r="M844" s="64"/>
    </row>
    <row r="845" spans="1:13" x14ac:dyDescent="0.25">
      <c r="A845" s="782"/>
      <c r="B845" s="353" t="s">
        <v>272</v>
      </c>
      <c r="C845" s="343"/>
      <c r="D845" s="340">
        <v>29.5</v>
      </c>
      <c r="E845" s="340">
        <v>29.5</v>
      </c>
      <c r="F845" s="347">
        <f>7*E845/100</f>
        <v>2.0649999999999999</v>
      </c>
      <c r="G845" s="347">
        <f>1*E845/100</f>
        <v>0.29499999999999998</v>
      </c>
      <c r="H845" s="347">
        <f>71.4*E845/100</f>
        <v>21.063000000000002</v>
      </c>
      <c r="I845" s="395">
        <f>330*E845/100</f>
        <v>97.35</v>
      </c>
      <c r="J845" s="396">
        <v>0</v>
      </c>
      <c r="K845" s="480"/>
      <c r="L845" s="114">
        <v>43.22</v>
      </c>
      <c r="M845" s="68">
        <f>SUM(L845*D845)/1000</f>
        <v>1.2749900000000001</v>
      </c>
    </row>
    <row r="846" spans="1:13" x14ac:dyDescent="0.25">
      <c r="A846" s="782"/>
      <c r="B846" s="353" t="s">
        <v>228</v>
      </c>
      <c r="C846" s="354"/>
      <c r="D846" s="340">
        <v>95</v>
      </c>
      <c r="E846" s="340">
        <v>95</v>
      </c>
      <c r="F846" s="340">
        <f>2.8*E846/100</f>
        <v>2.66</v>
      </c>
      <c r="G846" s="340">
        <f>3.2*E846/100</f>
        <v>3.04</v>
      </c>
      <c r="H846" s="340">
        <f>4.7*E846/100</f>
        <v>4.4649999999999999</v>
      </c>
      <c r="I846" s="345">
        <f>58*E846/100</f>
        <v>55.1</v>
      </c>
      <c r="J846" s="346">
        <f>1.3*E846/100</f>
        <v>1.2350000000000001</v>
      </c>
      <c r="K846" s="480"/>
      <c r="L846" s="114">
        <v>0</v>
      </c>
      <c r="M846" s="68">
        <f>SUM(L846*D846)/1000</f>
        <v>0</v>
      </c>
    </row>
    <row r="847" spans="1:13" x14ac:dyDescent="0.25">
      <c r="A847" s="782"/>
      <c r="B847" s="353" t="s">
        <v>229</v>
      </c>
      <c r="C847" s="354"/>
      <c r="D847" s="340">
        <v>72</v>
      </c>
      <c r="E847" s="340">
        <v>72</v>
      </c>
      <c r="F847" s="341">
        <v>0</v>
      </c>
      <c r="G847" s="341">
        <v>0</v>
      </c>
      <c r="H847" s="341">
        <v>0</v>
      </c>
      <c r="I847" s="348">
        <v>0</v>
      </c>
      <c r="J847" s="349">
        <v>0</v>
      </c>
      <c r="K847" s="480"/>
      <c r="L847" s="114">
        <v>55.45</v>
      </c>
      <c r="M847" s="68">
        <f>SUM(L847*D847)/1000</f>
        <v>3.9923999999999999</v>
      </c>
    </row>
    <row r="848" spans="1:13" x14ac:dyDescent="0.25">
      <c r="A848" s="782"/>
      <c r="B848" s="353" t="s">
        <v>230</v>
      </c>
      <c r="C848" s="363"/>
      <c r="D848" s="340">
        <v>15</v>
      </c>
      <c r="E848" s="340">
        <v>15</v>
      </c>
      <c r="F848" s="340">
        <v>0</v>
      </c>
      <c r="G848" s="340">
        <v>0</v>
      </c>
      <c r="H848" s="340">
        <v>14.8</v>
      </c>
      <c r="I848" s="345">
        <v>57.4</v>
      </c>
      <c r="J848" s="366">
        <v>0</v>
      </c>
      <c r="K848" s="480"/>
      <c r="L848" s="114">
        <v>376.98</v>
      </c>
      <c r="M848" s="68">
        <f>SUM(L848*D848)/1000</f>
        <v>5.6547000000000009</v>
      </c>
    </row>
    <row r="849" spans="1:13" x14ac:dyDescent="0.25">
      <c r="A849" s="782"/>
      <c r="B849" s="353" t="s">
        <v>231</v>
      </c>
      <c r="C849" s="363"/>
      <c r="D849" s="340">
        <v>0.3</v>
      </c>
      <c r="E849" s="340">
        <v>0.3</v>
      </c>
      <c r="F849" s="340">
        <v>0</v>
      </c>
      <c r="G849" s="340">
        <v>0</v>
      </c>
      <c r="H849" s="340">
        <v>0</v>
      </c>
      <c r="I849" s="345">
        <v>0</v>
      </c>
      <c r="J849" s="346">
        <v>0</v>
      </c>
      <c r="K849" s="480"/>
      <c r="L849" s="114">
        <v>50.7</v>
      </c>
      <c r="M849" s="68">
        <f>SUM(L849*D849)/1000</f>
        <v>1.5210000000000001E-2</v>
      </c>
    </row>
    <row r="850" spans="1:13" x14ac:dyDescent="0.25">
      <c r="A850" s="782"/>
      <c r="B850" s="582" t="s">
        <v>23</v>
      </c>
      <c r="C850" s="105">
        <v>40</v>
      </c>
      <c r="D850" s="13"/>
      <c r="E850" s="123"/>
      <c r="F850" s="110"/>
      <c r="G850" s="110"/>
      <c r="H850" s="110"/>
      <c r="I850" s="110"/>
      <c r="J850" s="97"/>
      <c r="K850" s="112" t="s">
        <v>24</v>
      </c>
      <c r="L850" s="223"/>
      <c r="M850" s="64"/>
    </row>
    <row r="851" spans="1:13" x14ac:dyDescent="0.25">
      <c r="A851" s="782"/>
      <c r="B851" s="107" t="s">
        <v>21</v>
      </c>
      <c r="C851" s="194"/>
      <c r="D851" s="63">
        <v>10</v>
      </c>
      <c r="E851" s="63">
        <v>10</v>
      </c>
      <c r="F851" s="63">
        <v>0.08</v>
      </c>
      <c r="G851" s="63">
        <v>7.25</v>
      </c>
      <c r="H851" s="63">
        <v>0.13</v>
      </c>
      <c r="I851" s="63">
        <v>66.099999999999994</v>
      </c>
      <c r="J851" s="231">
        <v>0</v>
      </c>
      <c r="K851" s="112"/>
      <c r="L851" s="114">
        <v>376.98</v>
      </c>
      <c r="M851" s="68">
        <f>SUM(L851*D851)/1000</f>
        <v>3.7698</v>
      </c>
    </row>
    <row r="852" spans="1:13" x14ac:dyDescent="0.25">
      <c r="A852" s="782"/>
      <c r="B852" s="107" t="s">
        <v>106</v>
      </c>
      <c r="C852" s="194"/>
      <c r="D852" s="63">
        <v>30</v>
      </c>
      <c r="E852" s="63">
        <v>30</v>
      </c>
      <c r="F852" s="63">
        <v>2.31</v>
      </c>
      <c r="G852" s="63">
        <v>0.9</v>
      </c>
      <c r="H852" s="63">
        <v>14.94</v>
      </c>
      <c r="I852" s="63">
        <v>78.599999999999994</v>
      </c>
      <c r="J852" s="231">
        <v>0</v>
      </c>
      <c r="K852" s="112"/>
      <c r="L852" s="114">
        <v>50</v>
      </c>
      <c r="M852" s="68">
        <f>SUM(L852*D852)/1000</f>
        <v>1.5</v>
      </c>
    </row>
    <row r="853" spans="1:13" x14ac:dyDescent="0.25">
      <c r="A853" s="782"/>
      <c r="B853" s="107"/>
      <c r="C853" s="107"/>
      <c r="D853" s="63"/>
      <c r="E853" s="63"/>
      <c r="F853" s="118">
        <f>SUM(F851:F852)</f>
        <v>2.39</v>
      </c>
      <c r="G853" s="118">
        <f t="shared" ref="G853:J853" si="47">SUM(G851:G852)</f>
        <v>8.15</v>
      </c>
      <c r="H853" s="118">
        <f t="shared" si="47"/>
        <v>15.07</v>
      </c>
      <c r="I853" s="118">
        <f t="shared" si="47"/>
        <v>144.69999999999999</v>
      </c>
      <c r="J853" s="118">
        <f t="shared" si="47"/>
        <v>0</v>
      </c>
      <c r="K853" s="153"/>
      <c r="L853" s="47"/>
      <c r="M853" s="72">
        <f>SUM(M851:M852)</f>
        <v>5.2698</v>
      </c>
    </row>
    <row r="854" spans="1:13" x14ac:dyDescent="0.25">
      <c r="A854" s="782"/>
      <c r="B854" s="582" t="s">
        <v>99</v>
      </c>
      <c r="C854" s="124">
        <v>180</v>
      </c>
      <c r="D854" s="13"/>
      <c r="E854" s="13"/>
      <c r="F854" s="63"/>
      <c r="G854" s="63"/>
      <c r="H854" s="63"/>
      <c r="I854" s="63"/>
      <c r="J854" s="96"/>
      <c r="K854" s="155" t="s">
        <v>179</v>
      </c>
      <c r="L854" s="65"/>
      <c r="M854" s="89"/>
    </row>
    <row r="855" spans="1:13" x14ac:dyDescent="0.25">
      <c r="A855" s="782"/>
      <c r="B855" s="107" t="s">
        <v>100</v>
      </c>
      <c r="C855" s="107"/>
      <c r="D855" s="63">
        <v>2</v>
      </c>
      <c r="E855" s="63">
        <v>2</v>
      </c>
      <c r="F855" s="63">
        <v>0.48</v>
      </c>
      <c r="G855" s="63">
        <v>0.3</v>
      </c>
      <c r="H855" s="63">
        <v>0.20399999999999999</v>
      </c>
      <c r="I855" s="63">
        <v>5.78</v>
      </c>
      <c r="J855" s="231">
        <v>0</v>
      </c>
      <c r="K855" s="126"/>
      <c r="L855" s="114">
        <v>450</v>
      </c>
      <c r="M855" s="68">
        <f>SUM(L855*D855)/1000</f>
        <v>0.9</v>
      </c>
    </row>
    <row r="856" spans="1:13" x14ac:dyDescent="0.25">
      <c r="A856" s="783"/>
      <c r="B856" s="107" t="s">
        <v>44</v>
      </c>
      <c r="C856" s="107"/>
      <c r="D856" s="63">
        <v>110</v>
      </c>
      <c r="E856" s="63">
        <v>110</v>
      </c>
      <c r="F856" s="63">
        <v>3.08</v>
      </c>
      <c r="G856" s="63">
        <v>3.52</v>
      </c>
      <c r="H856" s="63">
        <v>5.17</v>
      </c>
      <c r="I856" s="63">
        <v>63.8</v>
      </c>
      <c r="J856" s="96">
        <v>1.43</v>
      </c>
      <c r="K856" s="126"/>
      <c r="L856" s="114">
        <v>43.22</v>
      </c>
      <c r="M856" s="68">
        <f>SUM(L856*D856)/1000</f>
        <v>4.7542</v>
      </c>
    </row>
    <row r="857" spans="1:13" ht="15" hidden="1" customHeight="1" x14ac:dyDescent="0.25">
      <c r="A857" s="781"/>
      <c r="B857" s="107" t="s">
        <v>49</v>
      </c>
      <c r="C857" s="107"/>
      <c r="D857" s="63">
        <v>10</v>
      </c>
      <c r="E857" s="63">
        <v>10</v>
      </c>
      <c r="F857" s="63">
        <v>0</v>
      </c>
      <c r="G857" s="63">
        <v>0</v>
      </c>
      <c r="H857" s="63">
        <v>9.98</v>
      </c>
      <c r="I857" s="63">
        <v>37.9</v>
      </c>
      <c r="J857" s="96">
        <v>0</v>
      </c>
      <c r="K857" s="126"/>
      <c r="L857" s="114">
        <v>50.7</v>
      </c>
      <c r="M857" s="68">
        <f>SUM(L857*D857)/1000</f>
        <v>0.50700000000000001</v>
      </c>
    </row>
    <row r="858" spans="1:13" x14ac:dyDescent="0.25">
      <c r="A858" s="782"/>
      <c r="B858" s="107" t="s">
        <v>19</v>
      </c>
      <c r="C858" s="107"/>
      <c r="D858" s="63">
        <v>80</v>
      </c>
      <c r="E858" s="63">
        <v>80</v>
      </c>
      <c r="F858" s="63">
        <v>0</v>
      </c>
      <c r="G858" s="63">
        <v>0</v>
      </c>
      <c r="H858" s="63">
        <v>0</v>
      </c>
      <c r="I858" s="63">
        <v>0</v>
      </c>
      <c r="J858" s="96">
        <v>0</v>
      </c>
      <c r="K858" s="126"/>
      <c r="L858" s="114">
        <v>0</v>
      </c>
      <c r="M858" s="68">
        <f>SUM(L858*D858)/1000</f>
        <v>0</v>
      </c>
    </row>
    <row r="859" spans="1:13" x14ac:dyDescent="0.25">
      <c r="A859" s="782"/>
      <c r="B859" s="350" t="s">
        <v>232</v>
      </c>
      <c r="C859" s="339">
        <v>100</v>
      </c>
      <c r="D859" s="352">
        <v>105</v>
      </c>
      <c r="E859" s="352">
        <v>105</v>
      </c>
      <c r="F859" s="417">
        <f>2.8*E859/100</f>
        <v>2.94</v>
      </c>
      <c r="G859" s="417">
        <f>3.2*E859/100</f>
        <v>3.36</v>
      </c>
      <c r="H859" s="417">
        <f>4.7*E859/100</f>
        <v>4.9349999999999996</v>
      </c>
      <c r="I859" s="418">
        <f>58*E859/100</f>
        <v>60.9</v>
      </c>
      <c r="J859" s="419">
        <f>1.3*E859/100</f>
        <v>1.365</v>
      </c>
      <c r="K859" s="162" t="s">
        <v>207</v>
      </c>
      <c r="L859" s="65">
        <v>73.69</v>
      </c>
      <c r="M859" s="72">
        <f>SUM(D859*L859)/1000</f>
        <v>7.7374499999999999</v>
      </c>
    </row>
    <row r="860" spans="1:13" x14ac:dyDescent="0.25">
      <c r="A860" s="782"/>
      <c r="B860" s="107"/>
      <c r="C860" s="101"/>
      <c r="D860" s="63"/>
      <c r="E860" s="63"/>
      <c r="F860" s="100"/>
      <c r="G860" s="100"/>
      <c r="H860" s="100"/>
      <c r="I860" s="100"/>
      <c r="J860" s="101"/>
      <c r="K860" s="594"/>
      <c r="L860" s="215"/>
      <c r="M860" s="595"/>
    </row>
    <row r="861" spans="1:13" x14ac:dyDescent="0.25">
      <c r="A861" s="783"/>
      <c r="B861" s="138" t="s">
        <v>57</v>
      </c>
      <c r="C861" s="150"/>
      <c r="D861" s="63"/>
      <c r="E861" s="13"/>
      <c r="F861" s="307">
        <f>F844+F853+F859</f>
        <v>10.055</v>
      </c>
      <c r="G861" s="307">
        <f>G844+G853+G859</f>
        <v>14.844999999999999</v>
      </c>
      <c r="H861" s="307">
        <f>H844+H853+H859</f>
        <v>60.333000000000006</v>
      </c>
      <c r="I861" s="307">
        <f>I844+I853+I859</f>
        <v>415.44999999999993</v>
      </c>
      <c r="J861" s="307">
        <f>J844+J853+J859</f>
        <v>2.6</v>
      </c>
      <c r="K861" s="245"/>
      <c r="L861" s="246"/>
      <c r="M861" s="247"/>
    </row>
    <row r="862" spans="1:13" x14ac:dyDescent="0.25">
      <c r="A862" s="5" t="s">
        <v>166</v>
      </c>
      <c r="B862" s="13"/>
      <c r="C862" s="4"/>
      <c r="D862" s="166"/>
      <c r="E862" s="167"/>
      <c r="F862" s="51"/>
      <c r="G862" s="51"/>
      <c r="H862" s="51"/>
      <c r="I862" s="51"/>
      <c r="J862" s="53"/>
      <c r="K862" s="126"/>
      <c r="L862" s="65"/>
      <c r="M862" s="64"/>
    </row>
    <row r="863" spans="1:13" x14ac:dyDescent="0.25">
      <c r="A863" s="795"/>
      <c r="B863" s="583" t="s">
        <v>364</v>
      </c>
      <c r="C863" s="140">
        <v>200</v>
      </c>
      <c r="D863" s="154"/>
      <c r="E863" s="154"/>
      <c r="F863" s="13"/>
      <c r="G863" s="13"/>
      <c r="H863" s="13"/>
      <c r="I863" s="13"/>
      <c r="J863" s="96"/>
      <c r="K863" s="125" t="s">
        <v>134</v>
      </c>
      <c r="L863" s="65"/>
      <c r="M863" s="64"/>
    </row>
    <row r="864" spans="1:13" x14ac:dyDescent="0.25">
      <c r="A864" s="796"/>
      <c r="B864" s="96" t="s">
        <v>36</v>
      </c>
      <c r="C864" s="96"/>
      <c r="D864" s="98">
        <v>53.4</v>
      </c>
      <c r="E864" s="98">
        <v>40</v>
      </c>
      <c r="F864" s="102">
        <v>0.8</v>
      </c>
      <c r="G864" s="63">
        <v>0.16</v>
      </c>
      <c r="H864" s="63">
        <v>6.52</v>
      </c>
      <c r="I864" s="63">
        <v>30.8</v>
      </c>
      <c r="J864" s="96">
        <v>8</v>
      </c>
      <c r="K864" s="152"/>
      <c r="L864" s="114">
        <v>21.89</v>
      </c>
      <c r="M864" s="68">
        <f t="shared" ref="M864:M871" si="48">SUM(L864*D864)/1000</f>
        <v>1.1689259999999999</v>
      </c>
    </row>
    <row r="865" spans="1:13" x14ac:dyDescent="0.25">
      <c r="A865" s="796"/>
      <c r="B865" s="96" t="s">
        <v>135</v>
      </c>
      <c r="C865" s="96"/>
      <c r="D865" s="98">
        <v>16.2</v>
      </c>
      <c r="E865" s="98">
        <v>16</v>
      </c>
      <c r="F865" s="102">
        <v>3.68</v>
      </c>
      <c r="G865" s="63">
        <v>0.25600000000000001</v>
      </c>
      <c r="H865" s="63">
        <v>8.1280000000000001</v>
      </c>
      <c r="I865" s="63">
        <v>50.24</v>
      </c>
      <c r="J865" s="96">
        <v>0</v>
      </c>
      <c r="K865" s="152"/>
      <c r="L865" s="114">
        <v>39.630000000000003</v>
      </c>
      <c r="M865" s="68">
        <f t="shared" si="48"/>
        <v>0.64200599999999997</v>
      </c>
    </row>
    <row r="866" spans="1:13" x14ac:dyDescent="0.25">
      <c r="A866" s="796"/>
      <c r="B866" s="96" t="s">
        <v>32</v>
      </c>
      <c r="C866" s="96"/>
      <c r="D866" s="98">
        <v>10</v>
      </c>
      <c r="E866" s="98">
        <v>8</v>
      </c>
      <c r="F866" s="102">
        <v>0.112</v>
      </c>
      <c r="G866" s="63">
        <v>1.6E-2</v>
      </c>
      <c r="H866" s="63">
        <v>0.65600000000000003</v>
      </c>
      <c r="I866" s="63">
        <v>3.28</v>
      </c>
      <c r="J866" s="96">
        <v>0.8</v>
      </c>
      <c r="K866" s="152"/>
      <c r="L866" s="114">
        <v>21.98</v>
      </c>
      <c r="M866" s="68">
        <f t="shared" si="48"/>
        <v>0.21980000000000002</v>
      </c>
    </row>
    <row r="867" spans="1:13" x14ac:dyDescent="0.25">
      <c r="A867" s="796"/>
      <c r="B867" s="96" t="s">
        <v>59</v>
      </c>
      <c r="C867" s="96"/>
      <c r="D867" s="98">
        <v>12.6</v>
      </c>
      <c r="E867" s="98">
        <v>10</v>
      </c>
      <c r="F867" s="102">
        <v>0.13</v>
      </c>
      <c r="G867" s="63">
        <v>0.01</v>
      </c>
      <c r="H867" s="63">
        <v>0.69</v>
      </c>
      <c r="I867" s="63">
        <v>3.5</v>
      </c>
      <c r="J867" s="96">
        <v>0.5</v>
      </c>
      <c r="K867" s="152"/>
      <c r="L867" s="114">
        <v>38.5</v>
      </c>
      <c r="M867" s="68">
        <f t="shared" si="48"/>
        <v>0.48509999999999998</v>
      </c>
    </row>
    <row r="868" spans="1:13" x14ac:dyDescent="0.25">
      <c r="A868" s="796"/>
      <c r="B868" s="96" t="s">
        <v>37</v>
      </c>
      <c r="C868" s="96"/>
      <c r="D868" s="98">
        <v>4</v>
      </c>
      <c r="E868" s="98">
        <v>4</v>
      </c>
      <c r="F868" s="102">
        <v>0</v>
      </c>
      <c r="G868" s="63">
        <v>3.996</v>
      </c>
      <c r="H868" s="63">
        <v>0</v>
      </c>
      <c r="I868" s="63">
        <v>35.96</v>
      </c>
      <c r="J868" s="96">
        <v>0</v>
      </c>
      <c r="K868" s="152"/>
      <c r="L868" s="114">
        <v>92.2</v>
      </c>
      <c r="M868" s="68">
        <f t="shared" si="48"/>
        <v>0.36880000000000002</v>
      </c>
    </row>
    <row r="869" spans="1:13" x14ac:dyDescent="0.25">
      <c r="A869" s="796"/>
      <c r="B869" s="96" t="s">
        <v>112</v>
      </c>
      <c r="C869" s="96"/>
      <c r="D869" s="98">
        <v>1.2</v>
      </c>
      <c r="E869" s="98">
        <v>1.2</v>
      </c>
      <c r="F869" s="102">
        <v>0</v>
      </c>
      <c r="G869" s="63">
        <v>0</v>
      </c>
      <c r="H869" s="63">
        <v>0</v>
      </c>
      <c r="I869" s="63">
        <v>0</v>
      </c>
      <c r="J869" s="96">
        <v>0</v>
      </c>
      <c r="K869" s="152"/>
      <c r="L869" s="114">
        <v>16.62</v>
      </c>
      <c r="M869" s="68">
        <f t="shared" si="48"/>
        <v>1.9944E-2</v>
      </c>
    </row>
    <row r="870" spans="1:13" x14ac:dyDescent="0.25">
      <c r="A870" s="796"/>
      <c r="B870" s="96" t="s">
        <v>61</v>
      </c>
      <c r="C870" s="96"/>
      <c r="D870" s="98">
        <v>7.0000000000000001E-3</v>
      </c>
      <c r="E870" s="98">
        <v>7.0000000000000001E-3</v>
      </c>
      <c r="F870" s="102">
        <v>0</v>
      </c>
      <c r="G870" s="63">
        <v>0</v>
      </c>
      <c r="H870" s="63">
        <v>0</v>
      </c>
      <c r="I870" s="63">
        <v>0</v>
      </c>
      <c r="J870" s="96">
        <v>0</v>
      </c>
      <c r="K870" s="152"/>
      <c r="L870" s="114">
        <v>0</v>
      </c>
      <c r="M870" s="68">
        <f t="shared" si="48"/>
        <v>0</v>
      </c>
    </row>
    <row r="871" spans="1:13" x14ac:dyDescent="0.25">
      <c r="A871" s="796"/>
      <c r="B871" s="96" t="s">
        <v>19</v>
      </c>
      <c r="C871" s="96"/>
      <c r="D871" s="98">
        <v>140</v>
      </c>
      <c r="E871" s="98">
        <v>140</v>
      </c>
      <c r="F871" s="102">
        <v>0</v>
      </c>
      <c r="G871" s="63">
        <v>0</v>
      </c>
      <c r="H871" s="63">
        <v>0</v>
      </c>
      <c r="I871" s="63">
        <v>0</v>
      </c>
      <c r="J871" s="96">
        <v>0</v>
      </c>
      <c r="K871" s="126"/>
      <c r="L871" s="114">
        <v>0</v>
      </c>
      <c r="M871" s="68">
        <f t="shared" si="48"/>
        <v>0</v>
      </c>
    </row>
    <row r="872" spans="1:13" x14ac:dyDescent="0.25">
      <c r="A872" s="796"/>
      <c r="B872" s="124"/>
      <c r="C872" s="107"/>
      <c r="D872" s="98"/>
      <c r="E872" s="98"/>
      <c r="F872" s="118">
        <f>SUM(F864:F871)</f>
        <v>4.7220000000000004</v>
      </c>
      <c r="G872" s="118">
        <f>SUM(G864:G871)</f>
        <v>4.4379999999999997</v>
      </c>
      <c r="H872" s="118">
        <f>SUM(H864:H871)</f>
        <v>15.994</v>
      </c>
      <c r="I872" s="118">
        <f>SUM(I864:I871)</f>
        <v>123.78</v>
      </c>
      <c r="J872" s="206">
        <f>SUM(J864:J871)</f>
        <v>9.3000000000000007</v>
      </c>
      <c r="K872" s="126"/>
      <c r="L872" s="114"/>
      <c r="M872" s="68"/>
    </row>
    <row r="873" spans="1:13" x14ac:dyDescent="0.25">
      <c r="A873" s="796"/>
      <c r="B873" s="107"/>
      <c r="C873" s="107"/>
      <c r="D873" s="98"/>
      <c r="E873" s="98"/>
      <c r="F873" s="63"/>
      <c r="G873" s="63"/>
      <c r="H873" s="63"/>
      <c r="I873" s="63"/>
      <c r="J873" s="107"/>
      <c r="K873" s="126"/>
      <c r="L873" s="114"/>
      <c r="M873" s="72">
        <f>SUM(M864:M871)</f>
        <v>2.904576</v>
      </c>
    </row>
    <row r="874" spans="1:13" x14ac:dyDescent="0.25">
      <c r="A874" s="796"/>
      <c r="B874" s="652" t="s">
        <v>284</v>
      </c>
      <c r="C874" s="504">
        <v>60</v>
      </c>
      <c r="D874" s="391"/>
      <c r="E874" s="391"/>
      <c r="F874" s="653"/>
      <c r="G874" s="653"/>
      <c r="H874" s="653"/>
      <c r="I874" s="653"/>
      <c r="J874" s="653"/>
      <c r="K874" s="485" t="s">
        <v>317</v>
      </c>
      <c r="L874" s="114">
        <v>136.62</v>
      </c>
      <c r="M874" s="68" t="e">
        <f>SUM(L874*#REF!)/1000</f>
        <v>#REF!</v>
      </c>
    </row>
    <row r="875" spans="1:13" x14ac:dyDescent="0.25">
      <c r="A875" s="796"/>
      <c r="B875" s="342" t="s">
        <v>260</v>
      </c>
      <c r="C875" s="363"/>
      <c r="D875" s="340">
        <v>92.7</v>
      </c>
      <c r="E875" s="340">
        <v>38.200000000000003</v>
      </c>
      <c r="F875" s="340">
        <f>18.7*E875/100</f>
        <v>7.1434000000000006</v>
      </c>
      <c r="G875" s="340">
        <f>16.1*E875/100</f>
        <v>6.1502000000000008</v>
      </c>
      <c r="H875" s="340">
        <v>0</v>
      </c>
      <c r="I875" s="345">
        <f>220*E875/100</f>
        <v>84.04</v>
      </c>
      <c r="J875" s="346">
        <f>2*E875/100</f>
        <v>0.76400000000000001</v>
      </c>
      <c r="K875" s="480"/>
      <c r="L875" s="114"/>
      <c r="M875" s="68"/>
    </row>
    <row r="876" spans="1:13" x14ac:dyDescent="0.25">
      <c r="A876" s="796"/>
      <c r="B876" s="406" t="s">
        <v>285</v>
      </c>
      <c r="C876" s="339"/>
      <c r="D876" s="340">
        <v>8.6999999999999993</v>
      </c>
      <c r="E876" s="340">
        <v>8.6999999999999993</v>
      </c>
      <c r="F876" s="340">
        <f>7.7*E876/100</f>
        <v>0.66989999999999994</v>
      </c>
      <c r="G876" s="340">
        <f>3*E876/100</f>
        <v>0.26099999999999995</v>
      </c>
      <c r="H876" s="340">
        <f>49.8*E876/100</f>
        <v>4.3325999999999993</v>
      </c>
      <c r="I876" s="345">
        <f>262*E876/100</f>
        <v>22.793999999999997</v>
      </c>
      <c r="J876" s="346">
        <v>0</v>
      </c>
      <c r="K876" s="480"/>
      <c r="L876" s="114"/>
      <c r="M876" s="68"/>
    </row>
    <row r="877" spans="1:13" x14ac:dyDescent="0.25">
      <c r="A877" s="796"/>
      <c r="B877" s="406" t="s">
        <v>229</v>
      </c>
      <c r="C877" s="354"/>
      <c r="D877" s="340">
        <v>13.1</v>
      </c>
      <c r="E877" s="340">
        <v>13.1</v>
      </c>
      <c r="F877" s="340">
        <v>0</v>
      </c>
      <c r="G877" s="340">
        <v>0</v>
      </c>
      <c r="H877" s="340">
        <v>0</v>
      </c>
      <c r="I877" s="345">
        <v>0</v>
      </c>
      <c r="J877" s="346">
        <v>0</v>
      </c>
      <c r="K877" s="480"/>
      <c r="L877" s="114"/>
      <c r="M877" s="68"/>
    </row>
    <row r="878" spans="1:13" x14ac:dyDescent="0.25">
      <c r="A878" s="796"/>
      <c r="B878" s="406" t="s">
        <v>278</v>
      </c>
      <c r="C878" s="354"/>
      <c r="D878" s="340">
        <v>5.5</v>
      </c>
      <c r="E878" s="340">
        <v>5.5</v>
      </c>
      <c r="F878" s="340">
        <f>7.7*E878/100</f>
        <v>0.42349999999999999</v>
      </c>
      <c r="G878" s="340">
        <f>3*E878/100</f>
        <v>0.16500000000000001</v>
      </c>
      <c r="H878" s="340">
        <f>49.8*E878/100</f>
        <v>2.7389999999999999</v>
      </c>
      <c r="I878" s="345">
        <f>262*E878/100</f>
        <v>14.41</v>
      </c>
      <c r="J878" s="346">
        <v>0</v>
      </c>
      <c r="K878" s="480"/>
      <c r="L878" s="114"/>
      <c r="M878" s="68"/>
    </row>
    <row r="879" spans="1:13" x14ac:dyDescent="0.25">
      <c r="A879" s="796"/>
      <c r="B879" s="406" t="s">
        <v>286</v>
      </c>
      <c r="C879" s="354"/>
      <c r="D879" s="340">
        <v>2.2000000000000002</v>
      </c>
      <c r="E879" s="340">
        <v>2.2000000000000002</v>
      </c>
      <c r="F879" s="340">
        <v>0</v>
      </c>
      <c r="G879" s="340">
        <f>99.7*E879/100</f>
        <v>2.1934000000000005</v>
      </c>
      <c r="H879" s="340">
        <v>0</v>
      </c>
      <c r="I879" s="345">
        <f>897*E879/100</f>
        <v>19.734000000000002</v>
      </c>
      <c r="J879" s="346">
        <v>0</v>
      </c>
      <c r="K879" s="480"/>
      <c r="L879" s="114"/>
      <c r="M879" s="68"/>
    </row>
    <row r="880" spans="1:13" x14ac:dyDescent="0.25">
      <c r="A880" s="796"/>
      <c r="B880" s="406" t="s">
        <v>231</v>
      </c>
      <c r="C880" s="354"/>
      <c r="D880" s="340">
        <v>1.4</v>
      </c>
      <c r="E880" s="340">
        <v>1.4</v>
      </c>
      <c r="F880" s="340">
        <v>0</v>
      </c>
      <c r="G880" s="340">
        <v>0</v>
      </c>
      <c r="H880" s="340">
        <v>0</v>
      </c>
      <c r="I880" s="345">
        <v>0</v>
      </c>
      <c r="J880" s="346">
        <v>0</v>
      </c>
      <c r="K880" s="480"/>
      <c r="L880" s="114"/>
      <c r="M880" s="68"/>
    </row>
    <row r="881" spans="1:13" x14ac:dyDescent="0.25">
      <c r="A881" s="796"/>
      <c r="B881" s="406" t="s">
        <v>287</v>
      </c>
      <c r="C881" s="339"/>
      <c r="D881" s="354">
        <v>3.3</v>
      </c>
      <c r="E881" s="354">
        <v>3.3</v>
      </c>
      <c r="F881" s="340">
        <v>0</v>
      </c>
      <c r="G881" s="340">
        <f>99.9*E881/100</f>
        <v>3.2967</v>
      </c>
      <c r="H881" s="355">
        <v>0</v>
      </c>
      <c r="I881" s="356">
        <f>899*E881/100</f>
        <v>29.666999999999998</v>
      </c>
      <c r="J881" s="346">
        <v>0</v>
      </c>
      <c r="K881" s="480"/>
      <c r="L881" s="114">
        <v>35</v>
      </c>
      <c r="M881" s="68"/>
    </row>
    <row r="882" spans="1:13" x14ac:dyDescent="0.25">
      <c r="A882" s="796"/>
      <c r="B882" s="406" t="s">
        <v>288</v>
      </c>
      <c r="C882" s="354"/>
      <c r="D882" s="340">
        <v>5.5</v>
      </c>
      <c r="E882" s="340">
        <v>5.5</v>
      </c>
      <c r="F882" s="340">
        <f>0.8*E882/100</f>
        <v>4.4000000000000004E-2</v>
      </c>
      <c r="G882" s="340">
        <f>72.5*E882/100</f>
        <v>3.9874999999999998</v>
      </c>
      <c r="H882" s="340">
        <f>1.3*E882/100</f>
        <v>7.1500000000000008E-2</v>
      </c>
      <c r="I882" s="345">
        <f>661*E882/100</f>
        <v>36.354999999999997</v>
      </c>
      <c r="J882" s="346">
        <v>0</v>
      </c>
      <c r="K882" s="483"/>
      <c r="L882" s="114"/>
      <c r="M882" s="68"/>
    </row>
    <row r="883" spans="1:13" ht="18.75" customHeight="1" x14ac:dyDescent="0.25">
      <c r="A883" s="796"/>
      <c r="B883" s="96"/>
      <c r="C883" s="96"/>
      <c r="D883" s="63"/>
      <c r="E883" s="63"/>
      <c r="F883" s="430">
        <f>F875+F876+F877+F878+F879+F880+F881+F882</f>
        <v>8.280800000000001</v>
      </c>
      <c r="G883" s="430">
        <f>SUM(G875:G882)</f>
        <v>16.053799999999999</v>
      </c>
      <c r="H883" s="430">
        <f>SUM(H875:H882)</f>
        <v>7.1430999999999996</v>
      </c>
      <c r="I883" s="430">
        <f>SUM(I875:I882)</f>
        <v>207</v>
      </c>
      <c r="J883" s="430">
        <f>SUM(J875:J881)</f>
        <v>0.76400000000000001</v>
      </c>
      <c r="K883" s="126"/>
      <c r="L883" s="114"/>
      <c r="M883" s="72"/>
    </row>
    <row r="884" spans="1:13" x14ac:dyDescent="0.25">
      <c r="A884" s="796"/>
      <c r="B884" s="582" t="s">
        <v>89</v>
      </c>
      <c r="C884" s="124">
        <v>150</v>
      </c>
      <c r="D884" s="13"/>
      <c r="E884" s="13"/>
      <c r="F884" s="63">
        <f>SUM(F875:F882)</f>
        <v>8.280800000000001</v>
      </c>
      <c r="G884" s="63"/>
      <c r="H884" s="63"/>
      <c r="I884" s="63"/>
      <c r="J884" s="96"/>
      <c r="K884" s="155" t="s">
        <v>90</v>
      </c>
      <c r="L884" s="65"/>
      <c r="M884" s="64"/>
    </row>
    <row r="885" spans="1:13" x14ac:dyDescent="0.25">
      <c r="A885" s="796"/>
      <c r="B885" s="107" t="s">
        <v>91</v>
      </c>
      <c r="C885" s="107"/>
      <c r="D885" s="63">
        <v>171</v>
      </c>
      <c r="E885" s="63">
        <v>128.30000000000001</v>
      </c>
      <c r="F885" s="63">
        <v>2.54</v>
      </c>
      <c r="G885" s="63">
        <v>0.50800000000000001</v>
      </c>
      <c r="H885" s="63">
        <v>20.701000000000001</v>
      </c>
      <c r="I885" s="63">
        <v>97.79</v>
      </c>
      <c r="J885" s="96">
        <v>25.4</v>
      </c>
      <c r="K885" s="152"/>
      <c r="L885" s="114">
        <v>21.89</v>
      </c>
      <c r="M885" s="68">
        <f>SUM(L885*D885)/1000</f>
        <v>3.7431900000000002</v>
      </c>
    </row>
    <row r="886" spans="1:13" x14ac:dyDescent="0.25">
      <c r="A886" s="796"/>
      <c r="B886" s="107" t="s">
        <v>44</v>
      </c>
      <c r="C886" s="107"/>
      <c r="D886" s="63">
        <v>23.7</v>
      </c>
      <c r="E886" s="63" t="s">
        <v>92</v>
      </c>
      <c r="F886" s="63">
        <v>0.63</v>
      </c>
      <c r="G886" s="63">
        <v>0.72</v>
      </c>
      <c r="H886" s="63">
        <v>1.0575000000000001</v>
      </c>
      <c r="I886" s="63">
        <v>13.05</v>
      </c>
      <c r="J886" s="96">
        <v>0.29249999999999998</v>
      </c>
      <c r="K886" s="152"/>
      <c r="L886" s="114">
        <v>43.22</v>
      </c>
      <c r="M886" s="68">
        <f>SUM(L886*D886)/1000</f>
        <v>1.0243139999999999</v>
      </c>
    </row>
    <row r="887" spans="1:13" x14ac:dyDescent="0.25">
      <c r="A887" s="796"/>
      <c r="B887" s="107" t="s">
        <v>21</v>
      </c>
      <c r="C887" s="107"/>
      <c r="D887" s="63">
        <v>5.3</v>
      </c>
      <c r="E887" s="63">
        <v>5.3</v>
      </c>
      <c r="F887" s="63">
        <v>4.24E-2</v>
      </c>
      <c r="G887" s="63">
        <v>3.8424999999999998</v>
      </c>
      <c r="H887" s="63">
        <v>6.8900000000000003E-2</v>
      </c>
      <c r="I887" s="63">
        <v>35.033000000000001</v>
      </c>
      <c r="J887" s="96">
        <v>0</v>
      </c>
      <c r="K887" s="152"/>
      <c r="L887" s="114">
        <v>376.98</v>
      </c>
      <c r="M887" s="68">
        <f>SUM(L887*D887)/1000</f>
        <v>1.997994</v>
      </c>
    </row>
    <row r="888" spans="1:13" x14ac:dyDescent="0.25">
      <c r="A888" s="796"/>
      <c r="B888" s="107" t="s">
        <v>22</v>
      </c>
      <c r="C888" s="107"/>
      <c r="D888" s="63">
        <v>1.5</v>
      </c>
      <c r="E888" s="63">
        <v>1.5</v>
      </c>
      <c r="F888" s="63">
        <v>0</v>
      </c>
      <c r="G888" s="63">
        <v>0</v>
      </c>
      <c r="H888" s="63">
        <v>0</v>
      </c>
      <c r="I888" s="63">
        <v>0</v>
      </c>
      <c r="J888" s="96">
        <v>0</v>
      </c>
      <c r="K888" s="126"/>
      <c r="L888" s="114">
        <v>16.62</v>
      </c>
      <c r="M888" s="68">
        <f>SUM(L888*D888)/1000</f>
        <v>2.4930000000000001E-2</v>
      </c>
    </row>
    <row r="889" spans="1:13" x14ac:dyDescent="0.25">
      <c r="A889" s="796"/>
      <c r="B889" s="213"/>
      <c r="C889" s="216"/>
      <c r="D889" s="100"/>
      <c r="E889" s="100"/>
      <c r="F889" s="192">
        <f>SUM(F885:F888)</f>
        <v>3.2124000000000001</v>
      </c>
      <c r="G889" s="192">
        <f>SUM(G885:G888)</f>
        <v>5.0705</v>
      </c>
      <c r="H889" s="192">
        <f>SUM(H885:H888)</f>
        <v>21.827400000000001</v>
      </c>
      <c r="I889" s="192">
        <f>SUM(I885:I888)</f>
        <v>145.87299999999999</v>
      </c>
      <c r="J889" s="193">
        <f>SUM(J885:J888)</f>
        <v>25.692499999999999</v>
      </c>
      <c r="K889" s="156"/>
      <c r="L889" s="65"/>
      <c r="M889" s="72">
        <f>SUM(M885:M888)</f>
        <v>6.7904280000000012</v>
      </c>
    </row>
    <row r="890" spans="1:13" x14ac:dyDescent="0.25">
      <c r="A890" s="796"/>
      <c r="B890" s="138" t="s">
        <v>180</v>
      </c>
      <c r="C890" s="124">
        <v>180</v>
      </c>
      <c r="D890" s="13"/>
      <c r="E890" s="13"/>
      <c r="F890" s="63"/>
      <c r="G890" s="63"/>
      <c r="H890" s="63"/>
      <c r="I890" s="63"/>
      <c r="J890" s="96"/>
      <c r="K890" s="108" t="s">
        <v>181</v>
      </c>
      <c r="L890" s="591"/>
      <c r="M890" s="592"/>
    </row>
    <row r="891" spans="1:13" x14ac:dyDescent="0.25">
      <c r="A891" s="796"/>
      <c r="B891" s="107" t="s">
        <v>182</v>
      </c>
      <c r="C891" s="107"/>
      <c r="D891" s="63">
        <v>18</v>
      </c>
      <c r="E891" s="63" t="s">
        <v>183</v>
      </c>
      <c r="F891" s="63">
        <v>0.93600000000000005</v>
      </c>
      <c r="G891" s="63">
        <v>5.3999999999999999E-2</v>
      </c>
      <c r="H891" s="63">
        <v>9.18</v>
      </c>
      <c r="I891" s="63">
        <v>41.76</v>
      </c>
      <c r="J891" s="96">
        <v>0.72</v>
      </c>
      <c r="K891" s="136"/>
      <c r="L891" s="591"/>
      <c r="M891" s="592"/>
    </row>
    <row r="892" spans="1:13" x14ac:dyDescent="0.25">
      <c r="A892" s="796"/>
      <c r="B892" s="107" t="s">
        <v>38</v>
      </c>
      <c r="C892" s="107"/>
      <c r="D892" s="63">
        <v>14.4</v>
      </c>
      <c r="E892" s="63">
        <v>14.4</v>
      </c>
      <c r="F892" s="63">
        <v>0</v>
      </c>
      <c r="G892" s="63">
        <v>0</v>
      </c>
      <c r="H892" s="63">
        <v>14.371</v>
      </c>
      <c r="I892" s="63">
        <v>54.576000000000001</v>
      </c>
      <c r="J892" s="96">
        <v>0</v>
      </c>
      <c r="K892" s="136"/>
      <c r="L892" s="591"/>
      <c r="M892" s="592"/>
    </row>
    <row r="893" spans="1:13" x14ac:dyDescent="0.25">
      <c r="A893" s="796"/>
      <c r="B893" s="107" t="s">
        <v>19</v>
      </c>
      <c r="C893" s="107"/>
      <c r="D893" s="63">
        <v>182.7</v>
      </c>
      <c r="E893" s="63">
        <v>182.7</v>
      </c>
      <c r="F893" s="63">
        <v>0</v>
      </c>
      <c r="G893" s="63">
        <v>0</v>
      </c>
      <c r="H893" s="63">
        <v>0</v>
      </c>
      <c r="I893" s="63">
        <v>0</v>
      </c>
      <c r="J893" s="96">
        <v>0</v>
      </c>
      <c r="K893" s="136"/>
      <c r="L893" s="235"/>
      <c r="M893" s="36"/>
    </row>
    <row r="894" spans="1:13" x14ac:dyDescent="0.25">
      <c r="A894" s="796"/>
      <c r="B894" s="582" t="s">
        <v>324</v>
      </c>
      <c r="C894" s="124">
        <v>70</v>
      </c>
      <c r="D894" s="63">
        <v>70</v>
      </c>
      <c r="E894" s="63">
        <v>70</v>
      </c>
      <c r="F894" s="118">
        <v>3.85</v>
      </c>
      <c r="G894" s="118">
        <v>1.5</v>
      </c>
      <c r="H894" s="118">
        <v>24.9</v>
      </c>
      <c r="I894" s="118">
        <v>131</v>
      </c>
      <c r="J894" s="139">
        <v>0</v>
      </c>
      <c r="K894" s="153" t="s">
        <v>73</v>
      </c>
      <c r="L894" s="114">
        <v>35</v>
      </c>
      <c r="M894" s="72">
        <f>SUM(L894*D894)/1000</f>
        <v>2.4500000000000002</v>
      </c>
    </row>
    <row r="895" spans="1:13" x14ac:dyDescent="0.25">
      <c r="A895" s="796"/>
      <c r="B895" s="124" t="s">
        <v>74</v>
      </c>
      <c r="C895" s="124"/>
      <c r="D895" s="180"/>
      <c r="E895" s="180"/>
      <c r="F895" s="265">
        <f>F872+F883+F889+F894</f>
        <v>20.065200000000001</v>
      </c>
      <c r="G895" s="265">
        <f>G872+G883+G889+G894</f>
        <v>27.062299999999997</v>
      </c>
      <c r="H895" s="265">
        <f>H872+H883+H889+H894</f>
        <v>69.864499999999992</v>
      </c>
      <c r="I895" s="265">
        <f>I872+I883+I889+I894</f>
        <v>607.65300000000002</v>
      </c>
      <c r="J895" s="265">
        <f>J872+J883+J889+J894</f>
        <v>35.756500000000003</v>
      </c>
      <c r="K895" s="158"/>
      <c r="L895" s="65"/>
      <c r="M895" s="71"/>
    </row>
    <row r="896" spans="1:13" x14ac:dyDescent="0.25">
      <c r="A896" s="5" t="s">
        <v>75</v>
      </c>
      <c r="B896" s="13"/>
      <c r="C896" s="4"/>
      <c r="D896" s="105"/>
      <c r="E896" s="106"/>
      <c r="F896" s="51"/>
      <c r="G896" s="51"/>
      <c r="H896" s="51"/>
      <c r="I896" s="51"/>
      <c r="J896" s="53"/>
      <c r="K896" s="125"/>
      <c r="L896" s="65"/>
      <c r="M896" s="64"/>
    </row>
    <row r="897" spans="1:13" x14ac:dyDescent="0.25">
      <c r="A897" s="781"/>
      <c r="B897" s="362" t="s">
        <v>318</v>
      </c>
      <c r="C897" s="339">
        <v>50</v>
      </c>
      <c r="D897" s="340"/>
      <c r="E897" s="340"/>
      <c r="F897" s="401">
        <f>F898+F900</f>
        <v>3.0591000000000004</v>
      </c>
      <c r="G897" s="401">
        <f>G898+G900</f>
        <v>0.32669999999999999</v>
      </c>
      <c r="H897" s="401">
        <f>H898+H900</f>
        <v>35.492999999999995</v>
      </c>
      <c r="I897" s="401">
        <f>I898+I900</f>
        <v>156.09799999999998</v>
      </c>
      <c r="J897" s="401">
        <f>J898+J900</f>
        <v>0</v>
      </c>
      <c r="K897" s="488" t="s">
        <v>319</v>
      </c>
      <c r="L897" s="65"/>
      <c r="M897" s="68"/>
    </row>
    <row r="898" spans="1:13" x14ac:dyDescent="0.25">
      <c r="A898" s="782"/>
      <c r="B898" s="404" t="s">
        <v>247</v>
      </c>
      <c r="C898" s="354"/>
      <c r="D898" s="340">
        <v>29.7</v>
      </c>
      <c r="E898" s="340">
        <v>29.7</v>
      </c>
      <c r="F898" s="340">
        <f>10.3*E898/100</f>
        <v>3.0591000000000004</v>
      </c>
      <c r="G898" s="340">
        <f>1.1*E898/100</f>
        <v>0.32669999999999999</v>
      </c>
      <c r="H898" s="340">
        <f>69*E898/100</f>
        <v>20.492999999999999</v>
      </c>
      <c r="I898" s="345">
        <f>334*E898/100</f>
        <v>99.197999999999993</v>
      </c>
      <c r="J898" s="346">
        <v>0</v>
      </c>
      <c r="K898" s="483"/>
      <c r="L898" s="144">
        <v>209.73</v>
      </c>
      <c r="M898" s="68">
        <f>SUM(L898*D898)/1000</f>
        <v>6.2289810000000001</v>
      </c>
    </row>
    <row r="899" spans="1:13" x14ac:dyDescent="0.25">
      <c r="A899" s="782"/>
      <c r="B899" s="406" t="s">
        <v>279</v>
      </c>
      <c r="C899" s="354"/>
      <c r="D899" s="340">
        <v>1.6</v>
      </c>
      <c r="E899" s="340">
        <v>1.6</v>
      </c>
      <c r="F899" s="340">
        <f>0.8*E899/100</f>
        <v>1.2800000000000002E-2</v>
      </c>
      <c r="G899" s="340">
        <f>72.5*E899/100</f>
        <v>1.1599999999999999</v>
      </c>
      <c r="H899" s="340">
        <f>1.3*E899/100</f>
        <v>2.0799999999999999E-2</v>
      </c>
      <c r="I899" s="345">
        <f>661*E899/100</f>
        <v>10.576000000000001</v>
      </c>
      <c r="J899" s="346">
        <v>0</v>
      </c>
      <c r="K899" s="483"/>
      <c r="L899" s="144">
        <v>32.659999999999997</v>
      </c>
      <c r="M899" s="68">
        <f>SUM(L899*D899)/1000</f>
        <v>5.2255999999999997E-2</v>
      </c>
    </row>
    <row r="900" spans="1:13" x14ac:dyDescent="0.25">
      <c r="A900" s="782"/>
      <c r="B900" s="353" t="s">
        <v>230</v>
      </c>
      <c r="C900" s="343"/>
      <c r="D900" s="352">
        <v>1.6</v>
      </c>
      <c r="E900" s="352">
        <v>1.6</v>
      </c>
      <c r="F900" s="359">
        <v>0</v>
      </c>
      <c r="G900" s="359">
        <v>0</v>
      </c>
      <c r="H900" s="359">
        <v>15</v>
      </c>
      <c r="I900" s="359">
        <v>56.9</v>
      </c>
      <c r="J900" s="346">
        <v>0</v>
      </c>
      <c r="K900" s="483"/>
      <c r="L900" s="144">
        <v>4.6989999999999998</v>
      </c>
      <c r="M900" s="68">
        <f>SUM(L900*D900)/40</f>
        <v>0.18795999999999999</v>
      </c>
    </row>
    <row r="901" spans="1:13" x14ac:dyDescent="0.25">
      <c r="A901" s="782"/>
      <c r="B901" s="353" t="s">
        <v>280</v>
      </c>
      <c r="C901" s="343"/>
      <c r="D901" s="340">
        <v>1.6</v>
      </c>
      <c r="E901" s="340">
        <v>1.6</v>
      </c>
      <c r="F901" s="340">
        <v>0.41</v>
      </c>
      <c r="G901" s="340">
        <v>0.4</v>
      </c>
      <c r="H901" s="340">
        <v>0</v>
      </c>
      <c r="I901" s="345">
        <v>5.0999999999999996</v>
      </c>
      <c r="J901" s="346">
        <v>0</v>
      </c>
      <c r="K901" s="483"/>
      <c r="L901" s="144">
        <v>50.7</v>
      </c>
      <c r="M901" s="68">
        <f t="shared" ref="M901:M907" si="49">SUM(L901*D901)/1000</f>
        <v>8.1119999999999998E-2</v>
      </c>
    </row>
    <row r="902" spans="1:13" x14ac:dyDescent="0.25">
      <c r="A902" s="782"/>
      <c r="B902" s="441" t="s">
        <v>231</v>
      </c>
      <c r="C902" s="354"/>
      <c r="D902" s="340">
        <v>0.5</v>
      </c>
      <c r="E902" s="340">
        <v>0.5</v>
      </c>
      <c r="F902" s="340">
        <v>0</v>
      </c>
      <c r="G902" s="340">
        <v>0</v>
      </c>
      <c r="H902" s="340">
        <v>0</v>
      </c>
      <c r="I902" s="345">
        <v>0</v>
      </c>
      <c r="J902" s="346">
        <v>0</v>
      </c>
      <c r="K902" s="483"/>
      <c r="L902" s="336">
        <v>180</v>
      </c>
      <c r="M902" s="68">
        <f t="shared" si="49"/>
        <v>0.09</v>
      </c>
    </row>
    <row r="903" spans="1:13" x14ac:dyDescent="0.25">
      <c r="A903" s="782"/>
      <c r="B903" s="404" t="s">
        <v>282</v>
      </c>
      <c r="C903" s="363" t="s">
        <v>48</v>
      </c>
      <c r="D903" s="340">
        <v>0.35</v>
      </c>
      <c r="E903" s="340">
        <v>0.35</v>
      </c>
      <c r="F903" s="340">
        <v>0</v>
      </c>
      <c r="G903" s="340">
        <v>0</v>
      </c>
      <c r="H903" s="340">
        <v>0</v>
      </c>
      <c r="I903" s="340">
        <v>8.1</v>
      </c>
      <c r="J903" s="340">
        <v>0</v>
      </c>
      <c r="K903" s="482" t="s">
        <v>283</v>
      </c>
      <c r="L903" s="144">
        <v>2500</v>
      </c>
      <c r="M903" s="68">
        <f t="shared" si="49"/>
        <v>0.875</v>
      </c>
    </row>
    <row r="904" spans="1:13" x14ac:dyDescent="0.25">
      <c r="A904" s="782"/>
      <c r="B904" s="353" t="s">
        <v>229</v>
      </c>
      <c r="C904" s="343"/>
      <c r="D904" s="340">
        <v>12</v>
      </c>
      <c r="E904" s="340">
        <v>12</v>
      </c>
      <c r="F904" s="340">
        <v>0</v>
      </c>
      <c r="G904" s="340">
        <v>0</v>
      </c>
      <c r="H904" s="355">
        <v>0</v>
      </c>
      <c r="I904" s="356">
        <v>0</v>
      </c>
      <c r="J904" s="346">
        <v>0</v>
      </c>
      <c r="K904" s="480"/>
      <c r="L904" s="144">
        <v>376.98</v>
      </c>
      <c r="M904" s="68">
        <f t="shared" si="49"/>
        <v>4.5237600000000002</v>
      </c>
    </row>
    <row r="905" spans="1:13" x14ac:dyDescent="0.25">
      <c r="A905" s="782"/>
      <c r="B905" s="362" t="s">
        <v>320</v>
      </c>
      <c r="C905" s="405"/>
      <c r="D905" s="340" t="s">
        <v>48</v>
      </c>
      <c r="E905" s="340" t="s">
        <v>48</v>
      </c>
      <c r="F905" s="340" t="s">
        <v>48</v>
      </c>
      <c r="G905" s="340" t="s">
        <v>48</v>
      </c>
      <c r="H905" s="340" t="s">
        <v>48</v>
      </c>
      <c r="I905" s="345" t="s">
        <v>48</v>
      </c>
      <c r="J905" s="346" t="s">
        <v>48</v>
      </c>
      <c r="K905" s="480"/>
      <c r="L905" s="144">
        <v>60.5</v>
      </c>
      <c r="M905" s="68" t="e">
        <f t="shared" si="49"/>
        <v>#VALUE!</v>
      </c>
    </row>
    <row r="906" spans="1:13" x14ac:dyDescent="0.25">
      <c r="A906" s="782"/>
      <c r="B906" s="353" t="s">
        <v>203</v>
      </c>
      <c r="C906" s="354"/>
      <c r="D906" s="340">
        <v>22</v>
      </c>
      <c r="E906" s="340">
        <v>22</v>
      </c>
      <c r="F906" s="340">
        <v>0</v>
      </c>
      <c r="G906" s="340">
        <v>0.2</v>
      </c>
      <c r="H906" s="340">
        <v>0</v>
      </c>
      <c r="I906" s="345">
        <v>1.8</v>
      </c>
      <c r="J906" s="346">
        <v>0</v>
      </c>
      <c r="K906" s="480"/>
      <c r="L906" s="144">
        <v>153</v>
      </c>
      <c r="M906" s="68">
        <f t="shared" si="49"/>
        <v>3.3660000000000001</v>
      </c>
    </row>
    <row r="907" spans="1:13" x14ac:dyDescent="0.25">
      <c r="A907" s="782"/>
      <c r="B907" s="353" t="s">
        <v>280</v>
      </c>
      <c r="C907" s="343"/>
      <c r="D907" s="340">
        <v>1</v>
      </c>
      <c r="E907" s="340">
        <v>1</v>
      </c>
      <c r="F907" s="340">
        <v>0.41</v>
      </c>
      <c r="G907" s="340">
        <v>0.4</v>
      </c>
      <c r="H907" s="340">
        <v>0</v>
      </c>
      <c r="I907" s="345">
        <v>5.0999999999999996</v>
      </c>
      <c r="J907" s="346">
        <v>0</v>
      </c>
      <c r="K907" s="480"/>
      <c r="L907" s="144">
        <v>16.62</v>
      </c>
      <c r="M907" s="68">
        <f t="shared" si="49"/>
        <v>1.6619999999999999E-2</v>
      </c>
    </row>
    <row r="908" spans="1:13" x14ac:dyDescent="0.25">
      <c r="A908" s="782"/>
      <c r="B908" s="353" t="s">
        <v>230</v>
      </c>
      <c r="C908" s="354"/>
      <c r="D908" s="340">
        <v>1.2</v>
      </c>
      <c r="E908" s="340">
        <v>1.2</v>
      </c>
      <c r="F908" s="340">
        <v>0</v>
      </c>
      <c r="G908" s="340">
        <v>0</v>
      </c>
      <c r="H908" s="340">
        <v>2</v>
      </c>
      <c r="I908" s="345">
        <v>10.1</v>
      </c>
      <c r="J908" s="346">
        <v>0</v>
      </c>
      <c r="K908" s="480"/>
      <c r="L908" s="144"/>
      <c r="M908" s="68"/>
    </row>
    <row r="909" spans="1:13" x14ac:dyDescent="0.25">
      <c r="A909" s="782"/>
      <c r="B909" s="404" t="s">
        <v>247</v>
      </c>
      <c r="C909" s="354"/>
      <c r="D909" s="340">
        <v>1</v>
      </c>
      <c r="E909" s="340">
        <v>1</v>
      </c>
      <c r="F909" s="340">
        <f>10.3*E909/100</f>
        <v>0.10300000000000001</v>
      </c>
      <c r="G909" s="340">
        <f>1.1*E909/100</f>
        <v>1.1000000000000001E-2</v>
      </c>
      <c r="H909" s="340">
        <f>69*E909/100</f>
        <v>0.69</v>
      </c>
      <c r="I909" s="345">
        <f>334*E909/100</f>
        <v>3.34</v>
      </c>
      <c r="J909" s="346">
        <v>0</v>
      </c>
      <c r="K909" s="483"/>
      <c r="L909" s="144"/>
      <c r="M909" s="68"/>
    </row>
    <row r="910" spans="1:13" x14ac:dyDescent="0.25">
      <c r="A910" s="817"/>
      <c r="B910" s="404" t="s">
        <v>321</v>
      </c>
      <c r="C910" s="354"/>
      <c r="D910" s="340">
        <v>1.4</v>
      </c>
      <c r="E910" s="340">
        <v>1.4</v>
      </c>
      <c r="F910" s="340">
        <f>10.3*E910/100</f>
        <v>0.14419999999999999</v>
      </c>
      <c r="G910" s="340">
        <f>1.1*E910/100</f>
        <v>1.54E-2</v>
      </c>
      <c r="H910" s="340">
        <f>69*E910/100</f>
        <v>0.96599999999999997</v>
      </c>
      <c r="I910" s="345">
        <f>334*E910/100</f>
        <v>4.6759999999999993</v>
      </c>
      <c r="J910" s="346">
        <v>0</v>
      </c>
      <c r="K910" s="483"/>
      <c r="L910" s="144">
        <v>43.22</v>
      </c>
      <c r="M910" s="68">
        <f>SUM(L910*D910)/1000</f>
        <v>6.0507999999999992E-2</v>
      </c>
    </row>
    <row r="911" spans="1:13" ht="30" x14ac:dyDescent="0.25">
      <c r="A911" s="817"/>
      <c r="B911" s="353" t="s">
        <v>322</v>
      </c>
      <c r="C911" s="343"/>
      <c r="D911" s="340">
        <v>1.2</v>
      </c>
      <c r="E911" s="340">
        <v>1.2</v>
      </c>
      <c r="F911" s="340">
        <v>0.41</v>
      </c>
      <c r="G911" s="340">
        <v>0.4</v>
      </c>
      <c r="H911" s="340">
        <v>0</v>
      </c>
      <c r="I911" s="345">
        <v>5.0999999999999996</v>
      </c>
      <c r="J911" s="346">
        <v>0</v>
      </c>
      <c r="K911" s="483"/>
      <c r="L911" s="144">
        <v>376.98</v>
      </c>
      <c r="M911" s="68">
        <f>SUM(L911*D911)/1000</f>
        <v>0.45237600000000006</v>
      </c>
    </row>
    <row r="912" spans="1:13" x14ac:dyDescent="0.25">
      <c r="A912" s="817"/>
      <c r="B912" s="441" t="s">
        <v>323</v>
      </c>
      <c r="C912" s="354"/>
      <c r="D912" s="340">
        <v>0.2</v>
      </c>
      <c r="E912" s="340">
        <v>0.2</v>
      </c>
      <c r="F912" s="340">
        <v>0</v>
      </c>
      <c r="G912" s="340">
        <f>99.9*E912/100</f>
        <v>0.19980000000000003</v>
      </c>
      <c r="H912" s="355">
        <v>0</v>
      </c>
      <c r="I912" s="356">
        <f>899*E912/100</f>
        <v>1.798</v>
      </c>
      <c r="J912" s="346">
        <v>0</v>
      </c>
      <c r="K912" s="483"/>
      <c r="L912" s="144">
        <v>27.17</v>
      </c>
      <c r="M912" s="68">
        <f>SUM(L912*D912)/1000</f>
        <v>5.4340000000000013E-3</v>
      </c>
    </row>
    <row r="913" spans="1:13" x14ac:dyDescent="0.25">
      <c r="A913" s="817"/>
      <c r="B913" s="220" t="s">
        <v>19</v>
      </c>
      <c r="C913" s="133"/>
      <c r="D913" s="98">
        <v>191</v>
      </c>
      <c r="E913" s="98">
        <v>191</v>
      </c>
      <c r="F913" s="217">
        <v>0</v>
      </c>
      <c r="G913" s="218">
        <v>0</v>
      </c>
      <c r="H913" s="218">
        <v>0</v>
      </c>
      <c r="I913" s="218">
        <v>0</v>
      </c>
      <c r="J913" s="112">
        <v>0</v>
      </c>
      <c r="K913" s="219"/>
      <c r="L913" s="87">
        <v>0</v>
      </c>
      <c r="M913" s="68">
        <f>SUM(L913*D913)/1000</f>
        <v>0</v>
      </c>
    </row>
    <row r="914" spans="1:13" x14ac:dyDescent="0.25">
      <c r="A914" s="782"/>
      <c r="B914" s="255"/>
      <c r="C914" s="124"/>
      <c r="D914" s="100"/>
      <c r="E914" s="256"/>
      <c r="F914" s="267">
        <f>SUM(F906:F913)</f>
        <v>1.0671999999999999</v>
      </c>
      <c r="G914" s="267">
        <f>SUM(G906:G913)</f>
        <v>1.2262000000000002</v>
      </c>
      <c r="H914" s="267">
        <f>SUM(H906:H913)</f>
        <v>3.6559999999999997</v>
      </c>
      <c r="I914" s="267">
        <f>SUM(I906:I913)</f>
        <v>31.914000000000001</v>
      </c>
      <c r="J914" s="267">
        <f>SUM(J910:J913)</f>
        <v>0</v>
      </c>
      <c r="K914" s="219"/>
      <c r="L914" s="87"/>
      <c r="M914" s="72">
        <f>SUM(M910:M913)</f>
        <v>0.51831800000000006</v>
      </c>
    </row>
    <row r="915" spans="1:13" x14ac:dyDescent="0.25">
      <c r="A915" s="783"/>
      <c r="B915" s="124"/>
      <c r="C915" s="96"/>
      <c r="D915" s="63"/>
      <c r="E915" s="63"/>
      <c r="F915" s="178"/>
      <c r="G915" s="178"/>
      <c r="H915" s="178"/>
      <c r="I915" s="178"/>
      <c r="J915" s="178"/>
      <c r="K915" s="257"/>
      <c r="L915" s="259"/>
      <c r="M915" s="260"/>
    </row>
    <row r="916" spans="1:13" x14ac:dyDescent="0.25">
      <c r="A916" s="5"/>
      <c r="B916" s="13"/>
      <c r="C916" s="4"/>
      <c r="D916" s="105"/>
      <c r="E916" s="106"/>
      <c r="F916" s="52"/>
      <c r="G916" s="52"/>
      <c r="H916" s="52"/>
      <c r="I916" s="52"/>
      <c r="J916" s="52"/>
      <c r="K916" s="156"/>
      <c r="L916" s="65"/>
      <c r="M916" s="64"/>
    </row>
    <row r="917" spans="1:13" x14ac:dyDescent="0.25">
      <c r="A917" s="5"/>
      <c r="B917" s="109" t="s">
        <v>72</v>
      </c>
      <c r="C917" s="105" t="s">
        <v>187</v>
      </c>
      <c r="D917" s="13"/>
      <c r="E917" s="13"/>
      <c r="F917" s="13"/>
      <c r="G917" s="13"/>
      <c r="H917" s="13"/>
      <c r="I917" s="13"/>
      <c r="J917" s="96"/>
      <c r="K917" s="125" t="s">
        <v>188</v>
      </c>
      <c r="L917" s="65"/>
      <c r="M917" s="64"/>
    </row>
    <row r="918" spans="1:13" x14ac:dyDescent="0.25">
      <c r="A918" s="5"/>
      <c r="B918" s="109" t="s">
        <v>184</v>
      </c>
      <c r="C918" s="124"/>
      <c r="D918" s="13">
        <v>30</v>
      </c>
      <c r="E918" s="13">
        <v>30</v>
      </c>
      <c r="F918" s="13"/>
      <c r="G918" s="13"/>
      <c r="H918" s="13"/>
      <c r="I918" s="13"/>
      <c r="J918" s="96"/>
      <c r="K918" s="125"/>
      <c r="L918" s="65"/>
      <c r="M918" s="64"/>
    </row>
    <row r="919" spans="1:13" x14ac:dyDescent="0.25">
      <c r="A919" s="5"/>
      <c r="B919" s="107" t="s">
        <v>120</v>
      </c>
      <c r="C919" s="124"/>
      <c r="D919" s="63">
        <v>32.4</v>
      </c>
      <c r="E919" s="63">
        <v>32.4</v>
      </c>
      <c r="F919" s="63">
        <v>0</v>
      </c>
      <c r="G919" s="63">
        <v>0</v>
      </c>
      <c r="H919" s="63">
        <v>0</v>
      </c>
      <c r="I919" s="63">
        <v>0</v>
      </c>
      <c r="J919" s="96">
        <v>0</v>
      </c>
      <c r="K919" s="125"/>
      <c r="L919" s="65">
        <v>0</v>
      </c>
      <c r="M919" s="68">
        <f>SUM(L919*D919)/1000</f>
        <v>0</v>
      </c>
    </row>
    <row r="920" spans="1:13" x14ac:dyDescent="0.25">
      <c r="A920" s="5"/>
      <c r="B920" s="107" t="s">
        <v>185</v>
      </c>
      <c r="C920" s="107"/>
      <c r="D920" s="63">
        <v>0.3</v>
      </c>
      <c r="E920" s="63">
        <v>0.3</v>
      </c>
      <c r="F920" s="63">
        <v>0.06</v>
      </c>
      <c r="G920" s="63">
        <v>0</v>
      </c>
      <c r="H920" s="63">
        <v>2.07E-2</v>
      </c>
      <c r="I920" s="63">
        <v>0.45540000000000003</v>
      </c>
      <c r="J920" s="96">
        <v>0.03</v>
      </c>
      <c r="K920" s="126"/>
      <c r="L920" s="114">
        <v>375</v>
      </c>
      <c r="M920" s="68">
        <f>SUM(L920*D920)/1000</f>
        <v>0.1125</v>
      </c>
    </row>
    <row r="921" spans="1:13" x14ac:dyDescent="0.25">
      <c r="A921" s="5"/>
      <c r="B921" s="107" t="s">
        <v>49</v>
      </c>
      <c r="C921" s="107"/>
      <c r="D921" s="63">
        <v>10</v>
      </c>
      <c r="E921" s="63">
        <v>10</v>
      </c>
      <c r="F921" s="63">
        <v>0</v>
      </c>
      <c r="G921" s="63">
        <v>0</v>
      </c>
      <c r="H921" s="63">
        <v>9.98</v>
      </c>
      <c r="I921" s="63">
        <v>37.9</v>
      </c>
      <c r="J921" s="96">
        <v>0</v>
      </c>
      <c r="K921" s="126"/>
      <c r="L921" s="114">
        <v>50</v>
      </c>
      <c r="M921" s="68">
        <f>SUM(L921*D921)/1000</f>
        <v>0.5</v>
      </c>
    </row>
    <row r="922" spans="1:13" x14ac:dyDescent="0.25">
      <c r="A922" s="5"/>
      <c r="B922" s="107" t="s">
        <v>19</v>
      </c>
      <c r="C922" s="107"/>
      <c r="D922" s="63">
        <v>150</v>
      </c>
      <c r="E922" s="63">
        <v>150</v>
      </c>
      <c r="F922" s="63">
        <v>0</v>
      </c>
      <c r="G922" s="63">
        <v>0</v>
      </c>
      <c r="H922" s="63">
        <v>0</v>
      </c>
      <c r="I922" s="63">
        <v>0</v>
      </c>
      <c r="J922" s="96">
        <v>0</v>
      </c>
      <c r="K922" s="126"/>
      <c r="L922" s="114">
        <v>0</v>
      </c>
      <c r="M922" s="68">
        <f>SUM(L922*D922)/1000</f>
        <v>0</v>
      </c>
    </row>
    <row r="923" spans="1:13" x14ac:dyDescent="0.25">
      <c r="A923" s="5"/>
      <c r="B923" s="107"/>
      <c r="C923" s="107"/>
      <c r="D923" s="63"/>
      <c r="E923" s="63"/>
      <c r="F923" s="274">
        <f>SUM(F918:F922)</f>
        <v>0.06</v>
      </c>
      <c r="G923" s="274">
        <f t="shared" ref="G923:J923" si="50">SUM(G918:G922)</f>
        <v>0</v>
      </c>
      <c r="H923" s="274">
        <f t="shared" si="50"/>
        <v>10.0007</v>
      </c>
      <c r="I923" s="274">
        <f t="shared" si="50"/>
        <v>38.355399999999996</v>
      </c>
      <c r="J923" s="274">
        <f t="shared" si="50"/>
        <v>0.03</v>
      </c>
      <c r="K923" s="153"/>
      <c r="L923" s="65"/>
      <c r="M923" s="72">
        <f>SUM(M920:M922)</f>
        <v>0.61250000000000004</v>
      </c>
    </row>
    <row r="924" spans="1:13" x14ac:dyDescent="0.25">
      <c r="A924" s="20"/>
      <c r="B924" s="124" t="s">
        <v>46</v>
      </c>
      <c r="C924" s="124"/>
      <c r="D924" s="63"/>
      <c r="E924" s="63"/>
      <c r="F924" s="221">
        <f>F897+F914+F923</f>
        <v>4.1863000000000001</v>
      </c>
      <c r="G924" s="221">
        <f>G897+G914+G923</f>
        <v>1.5529000000000002</v>
      </c>
      <c r="H924" s="221">
        <f>H897+H914+H923</f>
        <v>49.149699999999996</v>
      </c>
      <c r="I924" s="221">
        <f>I897+I914+I923</f>
        <v>226.3674</v>
      </c>
      <c r="J924" s="221">
        <f>J897+J914+J923</f>
        <v>0.03</v>
      </c>
      <c r="K924" s="44"/>
      <c r="L924" s="240"/>
      <c r="M924" s="241"/>
    </row>
    <row r="925" spans="1:13" x14ac:dyDescent="0.25">
      <c r="A925" s="596" t="s">
        <v>168</v>
      </c>
      <c r="B925" s="261"/>
      <c r="C925" s="39"/>
      <c r="D925" s="23"/>
      <c r="E925" s="23"/>
      <c r="F925" s="275">
        <f>F861+F895+F924</f>
        <v>34.3065</v>
      </c>
      <c r="G925" s="275">
        <f>G861+G895+G924</f>
        <v>43.460199999999993</v>
      </c>
      <c r="H925" s="275">
        <f>H861+H895+H924</f>
        <v>179.34719999999999</v>
      </c>
      <c r="I925" s="275">
        <f>I861+I895+I924</f>
        <v>1249.4703999999999</v>
      </c>
      <c r="J925" s="275">
        <f>J861+J895+J924</f>
        <v>38.386500000000005</v>
      </c>
      <c r="K925" s="30"/>
      <c r="L925" s="31"/>
      <c r="M925" s="33">
        <f>SUM(M861,M893,M915,M924)</f>
        <v>0</v>
      </c>
    </row>
    <row r="926" spans="1:13" x14ac:dyDescent="0.25">
      <c r="A926" s="14"/>
      <c r="B926" s="40" t="s">
        <v>169</v>
      </c>
      <c r="C926" s="40"/>
      <c r="D926" s="41"/>
      <c r="E926" s="41"/>
      <c r="F926" s="630">
        <f>SUM(F88,F184,F313,F421,F517,F590,F665,F755,F841,F925,)</f>
        <v>276.88160000000005</v>
      </c>
      <c r="G926" s="630">
        <f>G88+G184+G313+G421+G517+G590+G665+G755+G841+G925</f>
        <v>283.08780000000002</v>
      </c>
      <c r="H926" s="630">
        <v>1250.0999999999999</v>
      </c>
      <c r="I926" s="631">
        <f>I88+I184+I313+I421+I517+I590+I665+I755+I841+I925</f>
        <v>9605.2309999999998</v>
      </c>
      <c r="J926" s="634">
        <f>J88+J184+J313+J421+J517+J590+J665+J755+J841+J925</f>
        <v>237.34039999999999</v>
      </c>
      <c r="K926" s="44"/>
      <c r="L926" s="47"/>
      <c r="M926" s="48">
        <f>SUM(M88,M184,M313,M421,M517,M590,M665,M755,M841,M925)/10</f>
        <v>21.832877799999999</v>
      </c>
    </row>
    <row r="927" spans="1:13" x14ac:dyDescent="0.25">
      <c r="A927" s="14"/>
      <c r="B927" s="40" t="s">
        <v>170</v>
      </c>
      <c r="C927" s="40"/>
      <c r="D927" s="41"/>
      <c r="E927" s="41"/>
      <c r="F927" s="42">
        <v>73</v>
      </c>
      <c r="G927" s="42">
        <v>69</v>
      </c>
      <c r="H927" s="42">
        <v>275</v>
      </c>
      <c r="I927" s="42">
        <v>1963</v>
      </c>
      <c r="J927" s="43"/>
      <c r="K927" s="156"/>
      <c r="L927" s="632"/>
      <c r="M927" s="94">
        <v>58.21</v>
      </c>
    </row>
    <row r="928" spans="1:13" ht="15" customHeight="1" x14ac:dyDescent="0.25">
      <c r="A928" s="14"/>
      <c r="B928" s="49" t="s">
        <v>171</v>
      </c>
      <c r="C928" s="50"/>
      <c r="D928" s="51"/>
      <c r="E928" s="51"/>
      <c r="F928" s="52">
        <v>63.84</v>
      </c>
      <c r="G928" s="52">
        <v>68.2</v>
      </c>
      <c r="H928" s="52">
        <v>94.12</v>
      </c>
      <c r="I928" s="52">
        <v>83.51</v>
      </c>
      <c r="J928" s="53"/>
      <c r="K928" s="604"/>
      <c r="L928" s="603"/>
      <c r="M928" s="600"/>
    </row>
    <row r="929" spans="1:13" x14ac:dyDescent="0.25">
      <c r="A929" s="54"/>
      <c r="B929" s="55"/>
      <c r="C929" s="55"/>
      <c r="D929" s="56"/>
      <c r="E929" s="56"/>
      <c r="F929" s="56"/>
      <c r="G929" s="56"/>
      <c r="H929" s="56"/>
      <c r="I929" s="56"/>
      <c r="J929" s="55"/>
      <c r="K929" s="601"/>
      <c r="L929" s="601"/>
      <c r="M929" s="602"/>
    </row>
    <row r="931" spans="1:13" x14ac:dyDescent="0.25">
      <c r="F931" s="633"/>
      <c r="G931" s="633"/>
      <c r="H931" s="633"/>
      <c r="I931" s="633"/>
      <c r="J931" s="633"/>
    </row>
  </sheetData>
  <mergeCells count="42">
    <mergeCell ref="A844:A856"/>
    <mergeCell ref="A857:A861"/>
    <mergeCell ref="A863:A895"/>
    <mergeCell ref="A897:A915"/>
    <mergeCell ref="A776:A816"/>
    <mergeCell ref="A818:A840"/>
    <mergeCell ref="A736:A743"/>
    <mergeCell ref="A746:A754"/>
    <mergeCell ref="A758:A772"/>
    <mergeCell ref="A773:A774"/>
    <mergeCell ref="A668:A689"/>
    <mergeCell ref="A691:A734"/>
    <mergeCell ref="A645:A663"/>
    <mergeCell ref="A593:A606"/>
    <mergeCell ref="A607:A610"/>
    <mergeCell ref="A612:A643"/>
    <mergeCell ref="A446:A483"/>
    <mergeCell ref="A485:A503"/>
    <mergeCell ref="A505:A516"/>
    <mergeCell ref="A520:A537"/>
    <mergeCell ref="A541:A579"/>
    <mergeCell ref="A581:A588"/>
    <mergeCell ref="A392:A399"/>
    <mergeCell ref="A424:A441"/>
    <mergeCell ref="A342:A390"/>
    <mergeCell ref="A209:A210"/>
    <mergeCell ref="A212:A267"/>
    <mergeCell ref="A269:A300"/>
    <mergeCell ref="A316:A335"/>
    <mergeCell ref="A336:A337"/>
    <mergeCell ref="A338:A340"/>
    <mergeCell ref="A175:A183"/>
    <mergeCell ref="A110:A111"/>
    <mergeCell ref="A120:A155"/>
    <mergeCell ref="A157:A173"/>
    <mergeCell ref="A112:A114"/>
    <mergeCell ref="A91:A109"/>
    <mergeCell ref="A72:A74"/>
    <mergeCell ref="A76:A87"/>
    <mergeCell ref="A6:A31"/>
    <mergeCell ref="A32:A33"/>
    <mergeCell ref="A37:A70"/>
  </mergeCells>
  <pageMargins left="0.7" right="0.7" top="0.75" bottom="0.75" header="0.3" footer="0.3"/>
  <pageSetup paperSize="9" scale="80" orientation="landscape" r:id="rId1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9"/>
  <sheetViews>
    <sheetView tabSelected="1" topLeftCell="A824" zoomScale="90" zoomScaleNormal="90" workbookViewId="0">
      <selection activeCell="O82" sqref="O82"/>
    </sheetView>
  </sheetViews>
  <sheetFormatPr defaultRowHeight="15" x14ac:dyDescent="0.25"/>
  <cols>
    <col min="1" max="1" width="14" style="62" customWidth="1"/>
    <col min="2" max="2" width="36.140625" style="62" customWidth="1"/>
    <col min="3" max="3" width="8.7109375" style="62" customWidth="1"/>
    <col min="4" max="4" width="9" style="62" customWidth="1"/>
    <col min="5" max="5" width="9.140625" style="62" bestFit="1" customWidth="1"/>
    <col min="6" max="6" width="12" style="62" customWidth="1"/>
    <col min="7" max="7" width="9.7109375" style="62" customWidth="1"/>
    <col min="8" max="8" width="11.42578125" style="62" customWidth="1"/>
    <col min="9" max="9" width="10.140625" style="62" customWidth="1"/>
    <col min="10" max="10" width="10" style="62" customWidth="1"/>
    <col min="11" max="11" width="11.42578125" style="62" customWidth="1"/>
    <col min="12" max="12" width="10.5703125" style="62" hidden="1" customWidth="1"/>
    <col min="13" max="13" width="10.7109375" style="62" hidden="1" customWidth="1"/>
    <col min="22" max="22" width="9.140625" customWidth="1"/>
  </cols>
  <sheetData>
    <row r="1" spans="1:13" ht="3" customHeight="1" x14ac:dyDescent="0.25"/>
    <row r="2" spans="1:13" ht="90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2" t="s">
        <v>9</v>
      </c>
      <c r="K2" s="3" t="s">
        <v>10</v>
      </c>
      <c r="L2" s="63" t="s">
        <v>13</v>
      </c>
      <c r="M2" s="63" t="s">
        <v>14</v>
      </c>
    </row>
    <row r="3" spans="1:13" x14ac:dyDescent="0.25">
      <c r="A3" s="4" t="s">
        <v>15</v>
      </c>
      <c r="B3" s="5"/>
      <c r="C3" s="5"/>
      <c r="D3" s="5"/>
      <c r="E3" s="6"/>
      <c r="F3" s="6"/>
      <c r="G3" s="6"/>
      <c r="H3" s="6"/>
      <c r="I3" s="6"/>
      <c r="J3" s="6"/>
      <c r="K3" s="7"/>
      <c r="L3" s="65"/>
      <c r="M3" s="64"/>
    </row>
    <row r="4" spans="1:13" x14ac:dyDescent="0.25">
      <c r="A4" s="5" t="s">
        <v>16</v>
      </c>
      <c r="B4" s="13"/>
      <c r="C4" s="105"/>
      <c r="D4" s="106"/>
      <c r="E4" s="13"/>
      <c r="F4" s="13"/>
      <c r="G4" s="13"/>
      <c r="H4" s="13"/>
      <c r="I4" s="107"/>
      <c r="J4" s="107"/>
      <c r="K4" s="108"/>
      <c r="L4" s="65"/>
      <c r="M4" s="64"/>
    </row>
    <row r="5" spans="1:13" ht="21.75" customHeight="1" x14ac:dyDescent="0.25">
      <c r="A5" s="5"/>
      <c r="B5" s="338" t="s">
        <v>270</v>
      </c>
      <c r="C5" s="363">
        <v>200</v>
      </c>
      <c r="D5" s="340"/>
      <c r="E5" s="340"/>
      <c r="F5" s="660"/>
      <c r="G5" s="660"/>
      <c r="H5" s="660"/>
      <c r="I5" s="660"/>
      <c r="J5" s="660"/>
      <c r="K5" s="125" t="s">
        <v>194</v>
      </c>
      <c r="L5" s="65"/>
      <c r="M5" s="64"/>
    </row>
    <row r="6" spans="1:13" ht="15" customHeight="1" x14ac:dyDescent="0.25">
      <c r="A6" s="781"/>
      <c r="B6" s="342" t="s">
        <v>272</v>
      </c>
      <c r="C6" s="343"/>
      <c r="D6" s="340">
        <v>29.5</v>
      </c>
      <c r="E6" s="340">
        <v>29.5</v>
      </c>
      <c r="F6" s="347">
        <f>7*E6/100</f>
        <v>2.0649999999999999</v>
      </c>
      <c r="G6" s="347">
        <f>1*E6/100</f>
        <v>0.29499999999999998</v>
      </c>
      <c r="H6" s="347">
        <f>71.4*E6/100</f>
        <v>21.063000000000002</v>
      </c>
      <c r="I6" s="395">
        <f>330*E6/100</f>
        <v>97.35</v>
      </c>
      <c r="J6" s="396">
        <v>0</v>
      </c>
      <c r="K6" s="125"/>
      <c r="L6" s="114">
        <v>4.6989999999999998</v>
      </c>
      <c r="M6" s="68">
        <f>SUM(L6*D6)/40</f>
        <v>3.4655125</v>
      </c>
    </row>
    <row r="7" spans="1:13" x14ac:dyDescent="0.25">
      <c r="A7" s="782"/>
      <c r="B7" s="342" t="s">
        <v>228</v>
      </c>
      <c r="C7" s="354"/>
      <c r="D7" s="340">
        <v>95</v>
      </c>
      <c r="E7" s="340">
        <v>95</v>
      </c>
      <c r="F7" s="340">
        <f>2.8*E7/100</f>
        <v>2.66</v>
      </c>
      <c r="G7" s="340">
        <f>3.2*E7/100</f>
        <v>3.04</v>
      </c>
      <c r="H7" s="340">
        <f>4.7*E7/100</f>
        <v>4.4649999999999999</v>
      </c>
      <c r="I7" s="345">
        <f>58*E7/100</f>
        <v>55.1</v>
      </c>
      <c r="J7" s="346">
        <f>1.3*E7/100</f>
        <v>1.2350000000000001</v>
      </c>
      <c r="K7" s="125"/>
      <c r="L7" s="65">
        <v>35</v>
      </c>
      <c r="M7" s="72">
        <f>SUM(L7*D7)/1000</f>
        <v>3.3250000000000002</v>
      </c>
    </row>
    <row r="8" spans="1:13" x14ac:dyDescent="0.25">
      <c r="A8" s="782"/>
      <c r="B8" s="342" t="s">
        <v>229</v>
      </c>
      <c r="C8" s="354"/>
      <c r="D8" s="340">
        <v>72</v>
      </c>
      <c r="E8" s="340">
        <v>72</v>
      </c>
      <c r="F8" s="341">
        <v>0</v>
      </c>
      <c r="G8" s="341">
        <v>0</v>
      </c>
      <c r="H8" s="341">
        <v>0</v>
      </c>
      <c r="I8" s="348">
        <v>0</v>
      </c>
      <c r="J8" s="349">
        <v>0</v>
      </c>
      <c r="K8" s="125"/>
      <c r="L8" s="65"/>
      <c r="M8" s="68"/>
    </row>
    <row r="9" spans="1:13" x14ac:dyDescent="0.25">
      <c r="A9" s="782"/>
      <c r="B9" s="342" t="s">
        <v>230</v>
      </c>
      <c r="C9" s="363"/>
      <c r="D9" s="340">
        <v>15</v>
      </c>
      <c r="E9" s="340">
        <v>15</v>
      </c>
      <c r="F9" s="340">
        <v>0</v>
      </c>
      <c r="G9" s="340">
        <v>0</v>
      </c>
      <c r="H9" s="340">
        <v>14.8</v>
      </c>
      <c r="I9" s="345">
        <v>57.4</v>
      </c>
      <c r="J9" s="366">
        <v>0</v>
      </c>
      <c r="K9" s="125"/>
      <c r="L9" s="65"/>
      <c r="M9" s="68"/>
    </row>
    <row r="10" spans="1:13" x14ac:dyDescent="0.25">
      <c r="A10" s="782"/>
      <c r="B10" s="342" t="s">
        <v>231</v>
      </c>
      <c r="C10" s="363"/>
      <c r="D10" s="340">
        <v>0.3</v>
      </c>
      <c r="E10" s="340">
        <v>0.3</v>
      </c>
      <c r="F10" s="340">
        <v>0</v>
      </c>
      <c r="G10" s="340">
        <v>0</v>
      </c>
      <c r="H10" s="340">
        <v>0</v>
      </c>
      <c r="I10" s="345">
        <v>0</v>
      </c>
      <c r="J10" s="346">
        <v>0</v>
      </c>
      <c r="K10" s="125"/>
      <c r="L10" s="65"/>
      <c r="M10" s="68"/>
    </row>
    <row r="11" spans="1:13" x14ac:dyDescent="0.25">
      <c r="A11" s="782"/>
      <c r="B11" s="173" t="s">
        <v>21</v>
      </c>
      <c r="C11" s="63"/>
      <c r="D11" s="63">
        <v>1.8</v>
      </c>
      <c r="E11" s="63">
        <v>1.8</v>
      </c>
      <c r="F11" s="323">
        <v>1.44E-2</v>
      </c>
      <c r="G11" s="194">
        <v>1.3049999999999999</v>
      </c>
      <c r="H11" s="63">
        <v>2.3400000000000001E-2</v>
      </c>
      <c r="I11" s="63">
        <v>11.898</v>
      </c>
      <c r="J11" s="97">
        <v>0</v>
      </c>
      <c r="K11" s="126"/>
      <c r="L11" s="114">
        <v>400</v>
      </c>
      <c r="M11" s="68">
        <f>SUM(L11*D11)/1000</f>
        <v>0.72</v>
      </c>
    </row>
    <row r="12" spans="1:13" x14ac:dyDescent="0.25">
      <c r="A12" s="782"/>
      <c r="B12" s="107"/>
      <c r="C12" s="63"/>
      <c r="D12" s="63"/>
      <c r="E12" s="63"/>
      <c r="F12" s="324">
        <f>SUM(F6:F10)</f>
        <v>4.7249999999999996</v>
      </c>
      <c r="G12" s="274">
        <f>SUM(G6:G10)</f>
        <v>3.335</v>
      </c>
      <c r="H12" s="274">
        <f>SUM(H6:H10)</f>
        <v>40.328000000000003</v>
      </c>
      <c r="I12" s="274">
        <f>SUM(I6:I10)</f>
        <v>209.85</v>
      </c>
      <c r="J12" s="279">
        <f>SUM(J6:J10)</f>
        <v>1.2350000000000001</v>
      </c>
      <c r="K12" s="156"/>
      <c r="L12" s="114">
        <v>50.7</v>
      </c>
      <c r="M12" s="68">
        <f>SUM(L12*D12)/1000</f>
        <v>0</v>
      </c>
    </row>
    <row r="13" spans="1:13" x14ac:dyDescent="0.25">
      <c r="A13" s="782"/>
      <c r="B13" s="726" t="s">
        <v>23</v>
      </c>
      <c r="C13" s="122">
        <v>40</v>
      </c>
      <c r="D13" s="13"/>
      <c r="E13" s="123"/>
      <c r="F13" s="110"/>
      <c r="G13" s="110"/>
      <c r="H13" s="110"/>
      <c r="I13" s="110"/>
      <c r="J13" s="97"/>
      <c r="K13" s="112" t="s">
        <v>24</v>
      </c>
      <c r="L13" s="114">
        <v>0</v>
      </c>
      <c r="M13" s="68">
        <f>SUM(L13*D13)/1000</f>
        <v>0</v>
      </c>
    </row>
    <row r="14" spans="1:13" x14ac:dyDescent="0.25">
      <c r="A14" s="782"/>
      <c r="B14" s="107" t="s">
        <v>21</v>
      </c>
      <c r="C14" s="194"/>
      <c r="D14" s="63">
        <v>10</v>
      </c>
      <c r="E14" s="63">
        <v>10</v>
      </c>
      <c r="F14" s="63">
        <v>0.08</v>
      </c>
      <c r="G14" s="63">
        <v>7.25</v>
      </c>
      <c r="H14" s="63">
        <v>0.13</v>
      </c>
      <c r="I14" s="63">
        <v>66.099999999999994</v>
      </c>
      <c r="J14" s="231">
        <v>0</v>
      </c>
      <c r="K14" s="112"/>
      <c r="L14" s="65"/>
      <c r="M14" s="72">
        <f>SUM(M9:M13)</f>
        <v>0.72</v>
      </c>
    </row>
    <row r="15" spans="1:13" x14ac:dyDescent="0.25">
      <c r="A15" s="782"/>
      <c r="B15" s="107" t="s">
        <v>25</v>
      </c>
      <c r="C15" s="194"/>
      <c r="D15" s="63">
        <v>30</v>
      </c>
      <c r="E15" s="63">
        <v>30</v>
      </c>
      <c r="F15" s="63">
        <v>2.31</v>
      </c>
      <c r="G15" s="63">
        <v>0.9</v>
      </c>
      <c r="H15" s="63">
        <v>14.94</v>
      </c>
      <c r="I15" s="63">
        <v>78.599999999999994</v>
      </c>
      <c r="J15" s="231">
        <v>0</v>
      </c>
      <c r="K15" s="112"/>
      <c r="L15" s="65"/>
      <c r="M15" s="72"/>
    </row>
    <row r="16" spans="1:13" x14ac:dyDescent="0.25">
      <c r="A16" s="782"/>
      <c r="B16" s="107"/>
      <c r="C16" s="107"/>
      <c r="D16" s="63"/>
      <c r="E16" s="63"/>
      <c r="F16" s="118">
        <f>SUM(F14:F15)</f>
        <v>2.39</v>
      </c>
      <c r="G16" s="118">
        <f>SUM(G14:G15)</f>
        <v>8.15</v>
      </c>
      <c r="H16" s="118">
        <f>SUM(H14:H15)</f>
        <v>15.07</v>
      </c>
      <c r="I16" s="118">
        <f>SUM(I14:I15)</f>
        <v>144.69999999999999</v>
      </c>
      <c r="J16" s="119">
        <f>SUM(J14:J15)</f>
        <v>0</v>
      </c>
      <c r="K16" s="156"/>
      <c r="L16" s="65"/>
      <c r="M16" s="72"/>
    </row>
    <row r="17" spans="1:13" x14ac:dyDescent="0.25">
      <c r="A17" s="782"/>
      <c r="B17" s="726" t="s">
        <v>99</v>
      </c>
      <c r="C17" s="124">
        <v>180</v>
      </c>
      <c r="D17" s="13"/>
      <c r="E17" s="13"/>
      <c r="F17" s="63"/>
      <c r="G17" s="63"/>
      <c r="H17" s="63"/>
      <c r="I17" s="63"/>
      <c r="J17" s="96"/>
      <c r="K17" s="155" t="s">
        <v>179</v>
      </c>
      <c r="L17" s="65"/>
      <c r="M17" s="72"/>
    </row>
    <row r="18" spans="1:13" x14ac:dyDescent="0.25">
      <c r="A18" s="782"/>
      <c r="B18" s="107" t="s">
        <v>100</v>
      </c>
      <c r="C18" s="107"/>
      <c r="D18" s="63">
        <v>2</v>
      </c>
      <c r="E18" s="63">
        <v>2</v>
      </c>
      <c r="F18" s="63">
        <v>0.48</v>
      </c>
      <c r="G18" s="63">
        <v>0.3</v>
      </c>
      <c r="H18" s="63">
        <v>0.20399999999999999</v>
      </c>
      <c r="I18" s="63">
        <v>5.78</v>
      </c>
      <c r="J18" s="231">
        <v>0</v>
      </c>
      <c r="K18" s="126"/>
      <c r="L18" s="65"/>
      <c r="M18" s="72"/>
    </row>
    <row r="19" spans="1:13" x14ac:dyDescent="0.25">
      <c r="A19" s="782"/>
      <c r="B19" s="107" t="s">
        <v>44</v>
      </c>
      <c r="C19" s="107"/>
      <c r="D19" s="63">
        <v>110</v>
      </c>
      <c r="E19" s="63">
        <v>110</v>
      </c>
      <c r="F19" s="63">
        <v>3.08</v>
      </c>
      <c r="G19" s="63">
        <v>3.52</v>
      </c>
      <c r="H19" s="63">
        <v>5.17</v>
      </c>
      <c r="I19" s="63">
        <v>63.8</v>
      </c>
      <c r="J19" s="96">
        <v>1.43</v>
      </c>
      <c r="K19" s="126"/>
      <c r="L19" s="65"/>
      <c r="M19" s="72"/>
    </row>
    <row r="20" spans="1:13" x14ac:dyDescent="0.25">
      <c r="A20" s="782"/>
      <c r="B20" s="107" t="s">
        <v>49</v>
      </c>
      <c r="C20" s="107"/>
      <c r="D20" s="63">
        <v>10</v>
      </c>
      <c r="E20" s="63">
        <v>10</v>
      </c>
      <c r="F20" s="63">
        <v>0</v>
      </c>
      <c r="G20" s="63">
        <v>0</v>
      </c>
      <c r="H20" s="63">
        <v>9.98</v>
      </c>
      <c r="I20" s="63">
        <v>37.9</v>
      </c>
      <c r="J20" s="96">
        <v>0</v>
      </c>
      <c r="K20" s="126"/>
      <c r="L20" s="65"/>
      <c r="M20" s="72"/>
    </row>
    <row r="21" spans="1:13" x14ac:dyDescent="0.25">
      <c r="A21" s="782"/>
      <c r="B21" s="107" t="s">
        <v>19</v>
      </c>
      <c r="C21" s="107"/>
      <c r="D21" s="63">
        <v>80</v>
      </c>
      <c r="E21" s="63">
        <v>80</v>
      </c>
      <c r="F21" s="63">
        <v>0</v>
      </c>
      <c r="G21" s="63">
        <v>0</v>
      </c>
      <c r="H21" s="63">
        <v>0</v>
      </c>
      <c r="I21" s="63">
        <v>0</v>
      </c>
      <c r="J21" s="96">
        <v>0</v>
      </c>
      <c r="K21" s="126"/>
      <c r="L21" s="65"/>
      <c r="M21" s="72"/>
    </row>
    <row r="22" spans="1:13" x14ac:dyDescent="0.25">
      <c r="A22" s="782"/>
      <c r="B22" s="157"/>
      <c r="C22" s="157"/>
      <c r="D22" s="51"/>
      <c r="E22" s="51"/>
      <c r="F22" s="267">
        <f>SUM(F18:F21)</f>
        <v>3.56</v>
      </c>
      <c r="G22" s="267">
        <f t="shared" ref="G22:J22" si="0">SUM(G18:G21)</f>
        <v>3.82</v>
      </c>
      <c r="H22" s="267">
        <f t="shared" si="0"/>
        <v>15.353999999999999</v>
      </c>
      <c r="I22" s="267">
        <f t="shared" si="0"/>
        <v>107.47999999999999</v>
      </c>
      <c r="J22" s="267">
        <f t="shared" si="0"/>
        <v>1.43</v>
      </c>
      <c r="K22" s="156"/>
      <c r="L22" s="65"/>
      <c r="M22" s="72"/>
    </row>
    <row r="23" spans="1:13" x14ac:dyDescent="0.25">
      <c r="A23" s="782"/>
      <c r="B23" s="124" t="s">
        <v>57</v>
      </c>
      <c r="C23" s="124"/>
      <c r="D23" s="13"/>
      <c r="E23" s="13"/>
      <c r="F23" s="142">
        <f>F5+F6+F7+F14</f>
        <v>4.8049999999999997</v>
      </c>
      <c r="G23" s="142">
        <f>G5+G6+G7+G14</f>
        <v>10.585000000000001</v>
      </c>
      <c r="H23" s="142">
        <f>H5+H6+H7+H14</f>
        <v>25.658000000000001</v>
      </c>
      <c r="I23" s="142">
        <f t="shared" ref="I23:J23" si="1">SUM(I7:I7,I14,I5,I6)</f>
        <v>218.54999999999998</v>
      </c>
      <c r="J23" s="142">
        <f t="shared" si="1"/>
        <v>1.2350000000000001</v>
      </c>
      <c r="K23" s="158"/>
      <c r="L23" s="65"/>
      <c r="M23" s="71">
        <f>SUM(M7:M7,M14)</f>
        <v>4.0449999999999999</v>
      </c>
    </row>
    <row r="24" spans="1:13" ht="15" hidden="1" customHeight="1" x14ac:dyDescent="0.25">
      <c r="A24" s="782"/>
      <c r="B24" s="96"/>
      <c r="C24" s="97"/>
      <c r="D24" s="98"/>
      <c r="E24" s="98"/>
      <c r="F24" s="102"/>
      <c r="G24" s="63"/>
      <c r="H24" s="63"/>
      <c r="I24" s="63"/>
      <c r="J24" s="96"/>
      <c r="K24" s="113"/>
      <c r="L24" s="114"/>
      <c r="M24" s="115"/>
    </row>
    <row r="25" spans="1:13" ht="15" hidden="1" customHeight="1" x14ac:dyDescent="0.25">
      <c r="A25" s="782"/>
      <c r="B25" s="96"/>
      <c r="C25" s="97"/>
      <c r="D25" s="98"/>
      <c r="E25" s="98"/>
      <c r="F25" s="102"/>
      <c r="G25" s="63"/>
      <c r="H25" s="63"/>
      <c r="I25" s="63"/>
      <c r="J25" s="96"/>
      <c r="K25" s="113"/>
      <c r="L25" s="114"/>
      <c r="M25" s="115"/>
    </row>
    <row r="26" spans="1:13" ht="15" hidden="1" customHeight="1" x14ac:dyDescent="0.25">
      <c r="A26" s="782"/>
      <c r="B26" s="96"/>
      <c r="C26" s="97"/>
      <c r="D26" s="98"/>
      <c r="E26" s="98"/>
      <c r="F26" s="102"/>
      <c r="G26" s="63"/>
      <c r="H26" s="63"/>
      <c r="I26" s="63"/>
      <c r="J26" s="96"/>
      <c r="K26" s="113"/>
      <c r="L26" s="114"/>
      <c r="M26" s="115"/>
    </row>
    <row r="27" spans="1:13" ht="15" hidden="1" customHeight="1" x14ac:dyDescent="0.25">
      <c r="A27" s="782"/>
      <c r="B27" s="96"/>
      <c r="C27" s="103"/>
      <c r="D27" s="104"/>
      <c r="E27" s="104"/>
      <c r="F27" s="102"/>
      <c r="G27" s="63"/>
      <c r="H27" s="63"/>
      <c r="I27" s="63"/>
      <c r="J27" s="96"/>
      <c r="K27" s="113"/>
      <c r="L27" s="114"/>
      <c r="M27" s="115"/>
    </row>
    <row r="28" spans="1:13" ht="15" hidden="1" customHeight="1" x14ac:dyDescent="0.25">
      <c r="A28" s="782"/>
      <c r="B28" s="116"/>
      <c r="C28" s="117"/>
      <c r="D28" s="100"/>
      <c r="E28" s="100"/>
      <c r="F28" s="118"/>
      <c r="G28" s="118"/>
      <c r="H28" s="118"/>
      <c r="I28" s="118"/>
      <c r="J28" s="118"/>
      <c r="K28" s="120"/>
      <c r="L28" s="65"/>
      <c r="M28" s="72"/>
    </row>
    <row r="29" spans="1:13" ht="15" hidden="1" customHeight="1" x14ac:dyDescent="0.25">
      <c r="A29" s="782"/>
      <c r="B29" s="121"/>
      <c r="C29" s="122"/>
      <c r="D29" s="63"/>
      <c r="E29" s="123"/>
      <c r="F29" s="110"/>
      <c r="G29" s="110"/>
      <c r="H29" s="110"/>
      <c r="I29" s="110"/>
      <c r="J29" s="97"/>
      <c r="K29" s="112"/>
      <c r="L29" s="65"/>
      <c r="M29" s="64"/>
    </row>
    <row r="30" spans="1:13" ht="15" hidden="1" customHeight="1" x14ac:dyDescent="0.25">
      <c r="A30" s="782"/>
      <c r="B30" s="107"/>
      <c r="C30" s="97"/>
      <c r="D30" s="63"/>
      <c r="E30" s="63"/>
      <c r="F30" s="194"/>
      <c r="G30" s="194"/>
      <c r="H30" s="194"/>
      <c r="I30" s="194"/>
      <c r="J30" s="97"/>
      <c r="K30" s="113"/>
      <c r="L30" s="114"/>
      <c r="M30" s="64"/>
    </row>
    <row r="31" spans="1:13" ht="15" hidden="1" customHeight="1" x14ac:dyDescent="0.25">
      <c r="A31" s="782"/>
      <c r="B31" s="107"/>
      <c r="C31" s="97"/>
      <c r="D31" s="63"/>
      <c r="E31" s="63"/>
      <c r="F31" s="194"/>
      <c r="G31" s="194"/>
      <c r="H31" s="194"/>
      <c r="I31" s="194"/>
      <c r="J31" s="97"/>
      <c r="K31" s="113"/>
      <c r="L31" s="114"/>
      <c r="M31" s="64"/>
    </row>
    <row r="32" spans="1:13" ht="15" hidden="1" customHeight="1" x14ac:dyDescent="0.25">
      <c r="A32" s="782"/>
      <c r="B32" s="107"/>
      <c r="C32" s="107"/>
      <c r="D32" s="63"/>
      <c r="E32" s="63"/>
      <c r="F32" s="118"/>
      <c r="G32" s="118"/>
      <c r="H32" s="118"/>
      <c r="I32" s="118"/>
      <c r="J32" s="119"/>
      <c r="K32" s="120"/>
      <c r="L32" s="65"/>
      <c r="M32" s="72"/>
    </row>
    <row r="33" spans="1:13" ht="15" hidden="1" customHeight="1" x14ac:dyDescent="0.25">
      <c r="A33" s="782"/>
      <c r="B33" s="647"/>
      <c r="C33" s="105"/>
      <c r="D33" s="13"/>
      <c r="E33" s="13"/>
      <c r="F33" s="13"/>
      <c r="G33" s="13"/>
      <c r="H33" s="13"/>
      <c r="I33" s="13"/>
      <c r="J33" s="96"/>
      <c r="K33" s="125"/>
      <c r="L33" s="65"/>
      <c r="M33" s="64"/>
    </row>
    <row r="34" spans="1:13" ht="15" hidden="1" customHeight="1" x14ac:dyDescent="0.25">
      <c r="A34" s="782"/>
      <c r="B34" s="647"/>
      <c r="C34" s="124"/>
      <c r="D34" s="13"/>
      <c r="E34" s="13"/>
      <c r="F34" s="13"/>
      <c r="G34" s="13"/>
      <c r="H34" s="13"/>
      <c r="I34" s="13"/>
      <c r="J34" s="96"/>
      <c r="K34" s="125"/>
      <c r="L34" s="65"/>
      <c r="M34" s="64"/>
    </row>
    <row r="35" spans="1:13" ht="15" hidden="1" customHeight="1" x14ac:dyDescent="0.25">
      <c r="A35" s="782"/>
      <c r="B35" s="107"/>
      <c r="C35" s="124"/>
      <c r="D35" s="63"/>
      <c r="E35" s="63"/>
      <c r="F35" s="63"/>
      <c r="G35" s="63"/>
      <c r="H35" s="63"/>
      <c r="I35" s="63"/>
      <c r="J35" s="96"/>
      <c r="K35" s="125"/>
      <c r="L35" s="65"/>
      <c r="M35" s="64"/>
    </row>
    <row r="36" spans="1:13" ht="15" hidden="1" customHeight="1" x14ac:dyDescent="0.25">
      <c r="A36" s="782"/>
      <c r="B36" s="107"/>
      <c r="C36" s="107"/>
      <c r="D36" s="63"/>
      <c r="E36" s="63"/>
      <c r="F36" s="63"/>
      <c r="G36" s="63"/>
      <c r="H36" s="63"/>
      <c r="I36" s="63"/>
      <c r="J36" s="96"/>
      <c r="K36" s="126"/>
      <c r="L36" s="114"/>
      <c r="M36" s="68"/>
    </row>
    <row r="37" spans="1:13" ht="15" hidden="1" customHeight="1" x14ac:dyDescent="0.25">
      <c r="A37" s="782"/>
      <c r="B37" s="107"/>
      <c r="C37" s="107"/>
      <c r="D37" s="63"/>
      <c r="E37" s="63"/>
      <c r="F37" s="63"/>
      <c r="G37" s="63"/>
      <c r="H37" s="63"/>
      <c r="I37" s="63"/>
      <c r="J37" s="96"/>
      <c r="K37" s="126"/>
      <c r="L37" s="114"/>
      <c r="M37" s="68"/>
    </row>
    <row r="38" spans="1:13" ht="15" hidden="1" customHeight="1" x14ac:dyDescent="0.25">
      <c r="A38" s="782"/>
      <c r="B38" s="107"/>
      <c r="C38" s="107"/>
      <c r="D38" s="63"/>
      <c r="E38" s="63"/>
      <c r="F38" s="63"/>
      <c r="G38" s="63"/>
      <c r="H38" s="63"/>
      <c r="I38" s="63"/>
      <c r="J38" s="96"/>
      <c r="K38" s="126"/>
      <c r="L38" s="114"/>
      <c r="M38" s="68"/>
    </row>
    <row r="39" spans="1:13" ht="15" hidden="1" customHeight="1" x14ac:dyDescent="0.25">
      <c r="A39" s="783"/>
      <c r="B39" s="107"/>
      <c r="C39" s="107"/>
      <c r="D39" s="63"/>
      <c r="E39" s="63"/>
      <c r="F39" s="118"/>
      <c r="G39" s="118"/>
      <c r="H39" s="267"/>
      <c r="I39" s="267"/>
      <c r="J39" s="127"/>
      <c r="K39" s="128"/>
      <c r="L39" s="65"/>
      <c r="M39" s="72"/>
    </row>
    <row r="40" spans="1:13" ht="15" hidden="1" customHeight="1" x14ac:dyDescent="0.25">
      <c r="A40" s="787"/>
      <c r="B40" s="124"/>
      <c r="C40" s="124"/>
      <c r="D40" s="63"/>
      <c r="E40" s="63"/>
      <c r="F40" s="130"/>
      <c r="G40" s="130"/>
      <c r="H40" s="130"/>
      <c r="I40" s="130"/>
      <c r="J40" s="131"/>
      <c r="K40" s="132"/>
      <c r="L40" s="65"/>
      <c r="M40" s="67"/>
    </row>
    <row r="41" spans="1:13" ht="15" hidden="1" customHeight="1" x14ac:dyDescent="0.25">
      <c r="A41" s="789"/>
      <c r="B41" s="133"/>
      <c r="C41" s="133"/>
      <c r="D41" s="63"/>
      <c r="E41" s="13"/>
      <c r="F41" s="272"/>
      <c r="G41" s="272"/>
      <c r="H41" s="272"/>
      <c r="I41" s="272"/>
      <c r="J41" s="272"/>
      <c r="K41" s="132"/>
      <c r="L41" s="65"/>
      <c r="M41" s="71"/>
    </row>
    <row r="42" spans="1:13" x14ac:dyDescent="0.25">
      <c r="A42" s="573" t="s">
        <v>366</v>
      </c>
      <c r="B42" s="124" t="s">
        <v>206</v>
      </c>
      <c r="C42" s="124">
        <v>100</v>
      </c>
      <c r="D42" s="63">
        <v>100</v>
      </c>
      <c r="E42" s="63">
        <v>100</v>
      </c>
      <c r="F42" s="308">
        <v>1.5</v>
      </c>
      <c r="G42" s="308">
        <v>0.5</v>
      </c>
      <c r="H42" s="308">
        <v>21</v>
      </c>
      <c r="I42" s="308">
        <v>96</v>
      </c>
      <c r="J42" s="309">
        <v>10</v>
      </c>
      <c r="K42" s="162" t="s">
        <v>207</v>
      </c>
      <c r="L42" s="65">
        <v>55.58</v>
      </c>
      <c r="M42" s="69">
        <f>SUM(L42*D42)/1000</f>
        <v>5.5579999999999998</v>
      </c>
    </row>
    <row r="43" spans="1:13" x14ac:dyDescent="0.25">
      <c r="A43" s="573"/>
      <c r="B43" s="133"/>
      <c r="C43" s="133"/>
      <c r="D43" s="63"/>
      <c r="E43" s="13"/>
      <c r="F43" s="605"/>
      <c r="G43" s="605"/>
      <c r="H43" s="605"/>
      <c r="I43" s="605"/>
      <c r="J43" s="606"/>
      <c r="K43" s="132"/>
      <c r="L43" s="65"/>
      <c r="M43" s="71"/>
    </row>
    <row r="44" spans="1:13" x14ac:dyDescent="0.25">
      <c r="A44" s="8" t="s">
        <v>27</v>
      </c>
      <c r="B44" s="4"/>
      <c r="C44" s="4"/>
      <c r="D44" s="105"/>
      <c r="E44" s="106"/>
      <c r="F44" s="102"/>
      <c r="G44" s="63"/>
      <c r="H44" s="63"/>
      <c r="I44" s="63"/>
      <c r="J44" s="96"/>
      <c r="K44" s="108"/>
      <c r="L44" s="65"/>
      <c r="M44" s="64"/>
    </row>
    <row r="45" spans="1:13" ht="30" x14ac:dyDescent="0.25">
      <c r="A45" s="781"/>
      <c r="B45" s="442" t="s">
        <v>83</v>
      </c>
      <c r="C45" s="105" t="s">
        <v>84</v>
      </c>
      <c r="D45" s="13"/>
      <c r="E45" s="13"/>
      <c r="F45" s="107"/>
      <c r="G45" s="107"/>
      <c r="H45" s="107"/>
      <c r="I45" s="107"/>
      <c r="J45" s="96"/>
      <c r="K45" s="125" t="s">
        <v>85</v>
      </c>
      <c r="L45" s="65"/>
      <c r="M45" s="64"/>
    </row>
    <row r="46" spans="1:13" ht="28.5" customHeight="1" x14ac:dyDescent="0.25">
      <c r="A46" s="782"/>
      <c r="B46" s="173" t="s">
        <v>36</v>
      </c>
      <c r="C46" s="96"/>
      <c r="D46" s="63">
        <v>80</v>
      </c>
      <c r="E46" s="63">
        <v>60</v>
      </c>
      <c r="F46" s="63">
        <v>1.2</v>
      </c>
      <c r="G46" s="63">
        <v>0.24</v>
      </c>
      <c r="H46" s="63">
        <v>9.7799999999999994</v>
      </c>
      <c r="I46" s="63">
        <v>46.2</v>
      </c>
      <c r="J46" s="96">
        <v>12</v>
      </c>
      <c r="K46" s="134"/>
      <c r="L46" s="135">
        <v>160</v>
      </c>
      <c r="M46" s="68">
        <f>SUM(L46*D46)/1000</f>
        <v>12.8</v>
      </c>
    </row>
    <row r="47" spans="1:13" x14ac:dyDescent="0.25">
      <c r="A47" s="782"/>
      <c r="B47" s="173" t="s">
        <v>18</v>
      </c>
      <c r="C47" s="96"/>
      <c r="D47" s="63">
        <v>4</v>
      </c>
      <c r="E47" s="63">
        <v>4</v>
      </c>
      <c r="F47" s="63">
        <v>0.372</v>
      </c>
      <c r="G47" s="63">
        <v>4.3999999999999997E-2</v>
      </c>
      <c r="H47" s="63">
        <v>2.948</v>
      </c>
      <c r="I47" s="63">
        <v>12.96</v>
      </c>
      <c r="J47" s="96">
        <v>0</v>
      </c>
      <c r="K47" s="136"/>
      <c r="L47" s="114">
        <v>36</v>
      </c>
      <c r="M47" s="68">
        <f>SUM(L47*D47)/1000</f>
        <v>0.14399999999999999</v>
      </c>
    </row>
    <row r="48" spans="1:13" x14ac:dyDescent="0.25">
      <c r="A48" s="782"/>
      <c r="B48" s="173" t="s">
        <v>59</v>
      </c>
      <c r="C48" s="96"/>
      <c r="D48" s="63">
        <v>10</v>
      </c>
      <c r="E48" s="63">
        <v>8</v>
      </c>
      <c r="F48" s="63">
        <v>0.104</v>
      </c>
      <c r="G48" s="63">
        <v>8.0000000000000002E-3</v>
      </c>
      <c r="H48" s="63">
        <v>0.55200000000000005</v>
      </c>
      <c r="I48" s="63">
        <v>2.8</v>
      </c>
      <c r="J48" s="96">
        <v>0.4</v>
      </c>
      <c r="K48" s="136"/>
      <c r="L48" s="114">
        <v>48</v>
      </c>
      <c r="M48" s="68">
        <f>SUM(L48*D48)/1000</f>
        <v>0.48</v>
      </c>
    </row>
    <row r="49" spans="1:13" x14ac:dyDescent="0.25">
      <c r="A49" s="782"/>
      <c r="B49" s="173" t="s">
        <v>32</v>
      </c>
      <c r="C49" s="96"/>
      <c r="D49" s="63">
        <v>4.8</v>
      </c>
      <c r="E49" s="63">
        <v>4</v>
      </c>
      <c r="F49" s="63">
        <v>5.6000000000000001E-2</v>
      </c>
      <c r="G49" s="63">
        <v>8.0000000000000002E-3</v>
      </c>
      <c r="H49" s="63">
        <v>0.32800000000000001</v>
      </c>
      <c r="I49" s="63">
        <v>1.64</v>
      </c>
      <c r="J49" s="96">
        <v>0.4</v>
      </c>
      <c r="K49" s="136"/>
      <c r="L49" s="114">
        <v>36</v>
      </c>
      <c r="M49" s="68">
        <f>SUM(L49*D49)/1000</f>
        <v>0.17279999999999998</v>
      </c>
    </row>
    <row r="50" spans="1:13" x14ac:dyDescent="0.25">
      <c r="A50" s="782"/>
      <c r="B50" s="173" t="s">
        <v>87</v>
      </c>
      <c r="C50" s="96"/>
      <c r="D50" s="63">
        <v>13.4</v>
      </c>
      <c r="E50" s="63">
        <v>12</v>
      </c>
      <c r="F50" s="63">
        <v>9.6000000000000002E-2</v>
      </c>
      <c r="G50" s="63">
        <v>1.2E-2</v>
      </c>
      <c r="H50" s="63">
        <v>0.20399999999999999</v>
      </c>
      <c r="I50" s="63">
        <v>1.56</v>
      </c>
      <c r="J50" s="96">
        <v>0.6</v>
      </c>
      <c r="K50" s="136"/>
      <c r="L50" s="114">
        <v>33</v>
      </c>
      <c r="M50" s="68">
        <f>SUM(L50*D50)/1000</f>
        <v>0.44219999999999998</v>
      </c>
    </row>
    <row r="51" spans="1:13" x14ac:dyDescent="0.25">
      <c r="A51" s="782"/>
      <c r="B51" s="173" t="s">
        <v>37</v>
      </c>
      <c r="C51" s="96"/>
      <c r="D51" s="63">
        <v>4</v>
      </c>
      <c r="E51" s="63">
        <v>4</v>
      </c>
      <c r="F51" s="63">
        <v>0</v>
      </c>
      <c r="G51" s="63">
        <v>3.996</v>
      </c>
      <c r="H51" s="63">
        <v>0</v>
      </c>
      <c r="I51" s="63">
        <v>35.96</v>
      </c>
      <c r="J51" s="96">
        <v>0</v>
      </c>
      <c r="K51" s="136"/>
      <c r="L51" s="114"/>
      <c r="M51" s="68"/>
    </row>
    <row r="52" spans="1:13" x14ac:dyDescent="0.25">
      <c r="A52" s="782"/>
      <c r="B52" s="173" t="s">
        <v>19</v>
      </c>
      <c r="C52" s="96"/>
      <c r="D52" s="63">
        <v>150</v>
      </c>
      <c r="E52" s="63">
        <v>150</v>
      </c>
      <c r="F52" s="63">
        <v>0</v>
      </c>
      <c r="G52" s="63">
        <v>0</v>
      </c>
      <c r="H52" s="63">
        <v>0</v>
      </c>
      <c r="I52" s="63">
        <v>0</v>
      </c>
      <c r="J52" s="96">
        <v>0</v>
      </c>
      <c r="K52" s="136"/>
      <c r="L52" s="114">
        <v>0</v>
      </c>
      <c r="M52" s="68">
        <f>SUM(L52*D52)/1000</f>
        <v>0</v>
      </c>
    </row>
    <row r="53" spans="1:13" x14ac:dyDescent="0.25">
      <c r="A53" s="782"/>
      <c r="B53" s="173" t="s">
        <v>22</v>
      </c>
      <c r="C53" s="96"/>
      <c r="D53" s="63">
        <v>1.2</v>
      </c>
      <c r="E53" s="63">
        <v>1.2</v>
      </c>
      <c r="F53" s="63">
        <v>0</v>
      </c>
      <c r="G53" s="63">
        <v>0</v>
      </c>
      <c r="H53" s="63">
        <v>0</v>
      </c>
      <c r="I53" s="63">
        <v>0</v>
      </c>
      <c r="J53" s="96">
        <v>0</v>
      </c>
      <c r="K53" s="136"/>
      <c r="L53" s="114">
        <v>16</v>
      </c>
      <c r="M53" s="68">
        <f>SUM(L53*D53)/1000</f>
        <v>1.9199999999999998E-2</v>
      </c>
    </row>
    <row r="54" spans="1:13" x14ac:dyDescent="0.25">
      <c r="A54" s="782"/>
      <c r="B54" s="173" t="s">
        <v>62</v>
      </c>
      <c r="C54" s="101"/>
      <c r="D54" s="63">
        <v>4</v>
      </c>
      <c r="E54" s="63">
        <v>4</v>
      </c>
      <c r="F54" s="63">
        <v>0.1</v>
      </c>
      <c r="G54" s="63">
        <v>0.6</v>
      </c>
      <c r="H54" s="63">
        <v>0.13600000000000001</v>
      </c>
      <c r="I54" s="63">
        <v>8.24</v>
      </c>
      <c r="J54" s="96">
        <v>1.2E-2</v>
      </c>
      <c r="K54" s="136"/>
      <c r="L54" s="114"/>
      <c r="M54" s="68"/>
    </row>
    <row r="55" spans="1:13" x14ac:dyDescent="0.25">
      <c r="A55" s="782"/>
      <c r="C55" s="117"/>
      <c r="D55" s="205"/>
      <c r="E55" s="205"/>
      <c r="F55" s="118">
        <f>SUM(F46:F54)</f>
        <v>1.9280000000000004</v>
      </c>
      <c r="G55" s="118">
        <f t="shared" ref="G55:J55" si="2">SUM(G46:G54)</f>
        <v>4.9079999999999995</v>
      </c>
      <c r="H55" s="118">
        <f t="shared" si="2"/>
        <v>13.947999999999999</v>
      </c>
      <c r="I55" s="118">
        <f t="shared" si="2"/>
        <v>109.36</v>
      </c>
      <c r="J55" s="118">
        <f t="shared" si="2"/>
        <v>13.412000000000001</v>
      </c>
      <c r="K55" s="120"/>
      <c r="L55" s="65"/>
      <c r="M55" s="72">
        <f>SUM(M46:M53)</f>
        <v>14.058200000000001</v>
      </c>
    </row>
    <row r="56" spans="1:13" ht="15" customHeight="1" x14ac:dyDescent="0.25">
      <c r="A56" s="782"/>
      <c r="B56" s="133" t="s">
        <v>88</v>
      </c>
      <c r="C56" s="13" t="s">
        <v>368</v>
      </c>
      <c r="D56" s="13"/>
      <c r="E56" s="13"/>
      <c r="F56" s="13"/>
      <c r="G56" s="13"/>
      <c r="H56" s="13"/>
      <c r="I56" s="13"/>
      <c r="J56" s="13"/>
      <c r="K56" s="112"/>
      <c r="L56" s="114"/>
      <c r="M56" s="68"/>
    </row>
    <row r="57" spans="1:13" x14ac:dyDescent="0.25">
      <c r="A57" s="782"/>
      <c r="B57" s="96" t="s">
        <v>369</v>
      </c>
      <c r="C57" s="584"/>
      <c r="D57" s="63">
        <v>95.2</v>
      </c>
      <c r="E57" s="63">
        <v>68</v>
      </c>
      <c r="F57" s="63">
        <f>16*E57/100</f>
        <v>10.88</v>
      </c>
      <c r="G57" s="63">
        <f>0.6*E57/100</f>
        <v>0.40799999999999997</v>
      </c>
      <c r="H57" s="63">
        <v>0</v>
      </c>
      <c r="I57" s="63">
        <f>69*E57/100</f>
        <v>46.92</v>
      </c>
      <c r="J57" s="63">
        <f>1*E57/100</f>
        <v>0.68</v>
      </c>
      <c r="K57" s="112"/>
      <c r="L57" s="65"/>
      <c r="M57" s="64"/>
    </row>
    <row r="58" spans="1:13" ht="15" customHeight="1" x14ac:dyDescent="0.25">
      <c r="A58" s="782"/>
      <c r="B58" s="96" t="s">
        <v>239</v>
      </c>
      <c r="C58" s="547"/>
      <c r="D58" s="63">
        <v>16</v>
      </c>
      <c r="E58" s="63">
        <v>13</v>
      </c>
      <c r="F58" s="63">
        <f>1.4*E58/100</f>
        <v>0.182</v>
      </c>
      <c r="G58" s="63">
        <v>0</v>
      </c>
      <c r="H58" s="63">
        <f>8.2*E58/100</f>
        <v>1.0659999999999998</v>
      </c>
      <c r="I58" s="63">
        <f>41*E58/100</f>
        <v>5.33</v>
      </c>
      <c r="J58" s="63">
        <f>10*E58/100</f>
        <v>1.3</v>
      </c>
      <c r="K58" s="112"/>
      <c r="L58" s="65">
        <v>215.64</v>
      </c>
      <c r="M58" s="68">
        <f>SUM(L58*D58)/1000</f>
        <v>3.45024</v>
      </c>
    </row>
    <row r="59" spans="1:13" x14ac:dyDescent="0.25">
      <c r="A59" s="782"/>
      <c r="B59" s="96" t="s">
        <v>370</v>
      </c>
      <c r="C59" s="548"/>
      <c r="D59" s="63">
        <v>4</v>
      </c>
      <c r="E59" s="63">
        <v>3</v>
      </c>
      <c r="F59" s="63">
        <f>3.7*E59/100</f>
        <v>0.11100000000000002</v>
      </c>
      <c r="G59" s="63">
        <f>0.4*E59/100</f>
        <v>1.2000000000000002E-2</v>
      </c>
      <c r="H59" s="63">
        <f>7.6*E59/100</f>
        <v>0.22799999999999998</v>
      </c>
      <c r="I59" s="63">
        <f>49*E59/100</f>
        <v>1.47</v>
      </c>
      <c r="J59" s="63">
        <f>150*E59/100</f>
        <v>4.5</v>
      </c>
      <c r="K59" s="112"/>
      <c r="L59" s="65">
        <v>0</v>
      </c>
      <c r="M59" s="68">
        <f>SUM(L59*D59)/1000</f>
        <v>0</v>
      </c>
    </row>
    <row r="60" spans="1:13" x14ac:dyDescent="0.25">
      <c r="A60" s="782"/>
      <c r="B60" s="96" t="s">
        <v>228</v>
      </c>
      <c r="C60" s="548"/>
      <c r="D60" s="63">
        <v>6</v>
      </c>
      <c r="E60" s="63">
        <v>6</v>
      </c>
      <c r="F60" s="63">
        <f>2.8*E60/100</f>
        <v>0.16799999999999998</v>
      </c>
      <c r="G60" s="63">
        <f>3.2*E60/100</f>
        <v>0.19200000000000003</v>
      </c>
      <c r="H60" s="63">
        <f>4.7*E60/100</f>
        <v>0.28200000000000003</v>
      </c>
      <c r="I60" s="63">
        <f>58*E60/100</f>
        <v>3.48</v>
      </c>
      <c r="J60" s="63">
        <f>1.3*E60/100</f>
        <v>7.8000000000000014E-2</v>
      </c>
      <c r="K60" s="112"/>
      <c r="L60" s="114">
        <v>35</v>
      </c>
      <c r="M60" s="68">
        <f>SUM(L60*D60)/1000</f>
        <v>0.21</v>
      </c>
    </row>
    <row r="61" spans="1:13" x14ac:dyDescent="0.25">
      <c r="A61" s="782"/>
      <c r="B61" s="96" t="s">
        <v>371</v>
      </c>
      <c r="C61" s="548"/>
      <c r="D61" s="63">
        <v>3</v>
      </c>
      <c r="E61" s="63">
        <v>3</v>
      </c>
      <c r="F61" s="63">
        <f>12.7*E61/100</f>
        <v>0.38099999999999995</v>
      </c>
      <c r="G61" s="63">
        <f>11.5*E61/100</f>
        <v>0.34499999999999997</v>
      </c>
      <c r="H61" s="63">
        <f>0.7*E61/100</f>
        <v>2.0999999999999998E-2</v>
      </c>
      <c r="I61" s="63">
        <f>157*E61/100</f>
        <v>4.71</v>
      </c>
      <c r="J61" s="63">
        <v>0</v>
      </c>
      <c r="K61" s="112"/>
      <c r="L61" s="114">
        <v>43.22</v>
      </c>
      <c r="M61" s="68">
        <f>SUM(L61*D61)/1000</f>
        <v>0.12966</v>
      </c>
    </row>
    <row r="62" spans="1:13" x14ac:dyDescent="0.25">
      <c r="A62" s="782"/>
      <c r="B62" s="96" t="s">
        <v>278</v>
      </c>
      <c r="C62" s="586"/>
      <c r="D62" s="63">
        <v>10</v>
      </c>
      <c r="E62" s="63">
        <v>10</v>
      </c>
      <c r="F62" s="63">
        <f>7.7*E62/100</f>
        <v>0.77</v>
      </c>
      <c r="G62" s="63">
        <f>3*E62/100</f>
        <v>0.3</v>
      </c>
      <c r="H62" s="63">
        <f>49.8*E62/100</f>
        <v>4.9800000000000004</v>
      </c>
      <c r="I62" s="63">
        <f>262*E62/100</f>
        <v>26.2</v>
      </c>
      <c r="J62" s="63">
        <v>0</v>
      </c>
      <c r="K62" s="112"/>
      <c r="L62" s="114">
        <v>4.6989999999999998</v>
      </c>
      <c r="M62" s="68">
        <f>SUM(D62*L62)/40</f>
        <v>1.17475</v>
      </c>
    </row>
    <row r="63" spans="1:13" x14ac:dyDescent="0.25">
      <c r="A63" s="782"/>
      <c r="B63" s="96" t="s">
        <v>241</v>
      </c>
      <c r="C63" s="546"/>
      <c r="D63" s="63">
        <v>3</v>
      </c>
      <c r="E63" s="63">
        <v>3</v>
      </c>
      <c r="F63" s="63">
        <v>0</v>
      </c>
      <c r="G63" s="63">
        <f>99.9*E63/100</f>
        <v>2.9970000000000003</v>
      </c>
      <c r="H63" s="63">
        <v>0</v>
      </c>
      <c r="I63" s="63">
        <f>899*E63/100</f>
        <v>26.97</v>
      </c>
      <c r="J63" s="63">
        <v>0</v>
      </c>
      <c r="K63" s="112"/>
      <c r="L63" s="114">
        <v>376.98</v>
      </c>
      <c r="M63" s="68">
        <f>SUM(L63*D63)/1000</f>
        <v>1.1309400000000001</v>
      </c>
    </row>
    <row r="64" spans="1:13" x14ac:dyDescent="0.25">
      <c r="A64" s="782"/>
      <c r="B64" s="96" t="s">
        <v>362</v>
      </c>
      <c r="C64" s="546"/>
      <c r="D64" s="63">
        <v>5</v>
      </c>
      <c r="E64" s="63">
        <v>5</v>
      </c>
      <c r="F64" s="63">
        <f>0.8*E64/100</f>
        <v>0.04</v>
      </c>
      <c r="G64" s="63">
        <f>72.5*E64/100</f>
        <v>3.625</v>
      </c>
      <c r="H64" s="63">
        <f>1.3*E64/100</f>
        <v>6.5000000000000002E-2</v>
      </c>
      <c r="I64" s="63">
        <f>661*E64/100</f>
        <v>33.049999999999997</v>
      </c>
      <c r="J64" s="63">
        <v>0</v>
      </c>
      <c r="K64" s="112"/>
      <c r="L64" s="114">
        <v>16.62</v>
      </c>
      <c r="M64" s="68">
        <f>SUM(L64*D64)/1000</f>
        <v>8.3100000000000007E-2</v>
      </c>
    </row>
    <row r="65" spans="1:13" x14ac:dyDescent="0.25">
      <c r="A65" s="782"/>
      <c r="B65" s="96" t="s">
        <v>231</v>
      </c>
      <c r="C65" s="546"/>
      <c r="D65" s="63">
        <v>0.4</v>
      </c>
      <c r="E65" s="63">
        <v>0.4</v>
      </c>
      <c r="F65" s="63">
        <v>0</v>
      </c>
      <c r="G65" s="63">
        <v>0</v>
      </c>
      <c r="H65" s="63">
        <v>0</v>
      </c>
      <c r="I65" s="63">
        <v>0</v>
      </c>
      <c r="J65" s="63">
        <v>0</v>
      </c>
      <c r="K65" s="112"/>
      <c r="L65" s="114">
        <v>0</v>
      </c>
      <c r="M65" s="68">
        <v>0</v>
      </c>
    </row>
    <row r="66" spans="1:13" x14ac:dyDescent="0.25">
      <c r="A66" s="782"/>
      <c r="B66" s="96"/>
      <c r="C66" s="546"/>
      <c r="D66" s="63"/>
      <c r="E66" s="63"/>
      <c r="F66" s="118">
        <f>SUM(F57:F65)</f>
        <v>12.532</v>
      </c>
      <c r="G66" s="118">
        <f>SUM(G57:G65)</f>
        <v>7.8790000000000004</v>
      </c>
      <c r="H66" s="118">
        <f>SUM(H57:H65)</f>
        <v>6.6420000000000003</v>
      </c>
      <c r="I66" s="118">
        <f>SUM(I57:I65)</f>
        <v>148.13</v>
      </c>
      <c r="J66" s="118">
        <f>SUM(J57:J65)</f>
        <v>6.5580000000000007</v>
      </c>
      <c r="K66" s="112"/>
      <c r="L66" s="114"/>
      <c r="M66" s="68"/>
    </row>
    <row r="67" spans="1:13" x14ac:dyDescent="0.25">
      <c r="A67" s="782"/>
      <c r="B67" s="647" t="s">
        <v>89</v>
      </c>
      <c r="C67" s="124">
        <v>150</v>
      </c>
      <c r="D67" s="13"/>
      <c r="E67" s="13"/>
      <c r="F67" s="63"/>
      <c r="G67" s="63"/>
      <c r="H67" s="63"/>
      <c r="I67" s="63"/>
      <c r="J67" s="96"/>
      <c r="K67" s="155" t="s">
        <v>90</v>
      </c>
      <c r="L67" s="65"/>
      <c r="M67" s="64"/>
    </row>
    <row r="68" spans="1:13" x14ac:dyDescent="0.25">
      <c r="A68" s="782"/>
      <c r="B68" s="107" t="s">
        <v>91</v>
      </c>
      <c r="C68" s="107"/>
      <c r="D68" s="63">
        <v>171</v>
      </c>
      <c r="E68" s="63">
        <v>128.30000000000001</v>
      </c>
      <c r="F68" s="63">
        <v>2.54</v>
      </c>
      <c r="G68" s="63">
        <v>0.50800000000000001</v>
      </c>
      <c r="H68" s="63">
        <v>20.701000000000001</v>
      </c>
      <c r="I68" s="63">
        <v>97.79</v>
      </c>
      <c r="J68" s="96">
        <v>25.4</v>
      </c>
      <c r="K68" s="152"/>
      <c r="L68" s="114">
        <v>21.89</v>
      </c>
      <c r="M68" s="68">
        <f>SUM(L68*D68)/1000</f>
        <v>3.7431900000000002</v>
      </c>
    </row>
    <row r="69" spans="1:13" x14ac:dyDescent="0.25">
      <c r="A69" s="782"/>
      <c r="B69" s="107" t="s">
        <v>44</v>
      </c>
      <c r="C69" s="107"/>
      <c r="D69" s="63">
        <v>23.7</v>
      </c>
      <c r="E69" s="63" t="s">
        <v>92</v>
      </c>
      <c r="F69" s="63">
        <v>0.63</v>
      </c>
      <c r="G69" s="63">
        <v>0.72</v>
      </c>
      <c r="H69" s="63">
        <v>1.0575000000000001</v>
      </c>
      <c r="I69" s="63">
        <v>13.05</v>
      </c>
      <c r="J69" s="96">
        <v>0.29249999999999998</v>
      </c>
      <c r="K69" s="152"/>
      <c r="L69" s="114">
        <v>43.22</v>
      </c>
      <c r="M69" s="68">
        <f>SUM(L69*D69)/1000</f>
        <v>1.0243139999999999</v>
      </c>
    </row>
    <row r="70" spans="1:13" x14ac:dyDescent="0.25">
      <c r="A70" s="782"/>
      <c r="B70" s="107" t="s">
        <v>21</v>
      </c>
      <c r="C70" s="107"/>
      <c r="D70" s="63">
        <v>5.3</v>
      </c>
      <c r="E70" s="63">
        <v>5.3</v>
      </c>
      <c r="F70" s="63">
        <v>4.24E-2</v>
      </c>
      <c r="G70" s="63">
        <v>3.8424999999999998</v>
      </c>
      <c r="H70" s="63">
        <v>6.8900000000000003E-2</v>
      </c>
      <c r="I70" s="63">
        <v>35.033000000000001</v>
      </c>
      <c r="J70" s="96">
        <v>0</v>
      </c>
      <c r="K70" s="152"/>
      <c r="L70" s="114">
        <v>376.98</v>
      </c>
      <c r="M70" s="68">
        <f>SUM(L70*D70)/1000</f>
        <v>1.997994</v>
      </c>
    </row>
    <row r="71" spans="1:13" x14ac:dyDescent="0.25">
      <c r="A71" s="782"/>
      <c r="B71" s="107" t="s">
        <v>22</v>
      </c>
      <c r="C71" s="107"/>
      <c r="D71" s="63">
        <v>1.5</v>
      </c>
      <c r="E71" s="63">
        <v>1.5</v>
      </c>
      <c r="F71" s="63">
        <v>0</v>
      </c>
      <c r="G71" s="63">
        <v>0</v>
      </c>
      <c r="H71" s="63">
        <v>0</v>
      </c>
      <c r="I71" s="63">
        <v>0</v>
      </c>
      <c r="J71" s="96">
        <v>0</v>
      </c>
      <c r="K71" s="126"/>
      <c r="L71" s="114">
        <v>16.62</v>
      </c>
      <c r="M71" s="68">
        <f>SUM(L71*D71)/1000</f>
        <v>2.4930000000000001E-2</v>
      </c>
    </row>
    <row r="72" spans="1:13" x14ac:dyDescent="0.25">
      <c r="A72" s="782"/>
      <c r="B72" s="213"/>
      <c r="C72" s="216"/>
      <c r="D72" s="100"/>
      <c r="E72" s="100"/>
      <c r="F72" s="192">
        <f>SUM(F68:F71)</f>
        <v>3.2124000000000001</v>
      </c>
      <c r="G72" s="192">
        <f>SUM(G68:G71)</f>
        <v>5.0705</v>
      </c>
      <c r="H72" s="192">
        <f>SUM(H68:H71)</f>
        <v>21.827400000000001</v>
      </c>
      <c r="I72" s="192">
        <f>SUM(I68:I71)</f>
        <v>145.87299999999999</v>
      </c>
      <c r="J72" s="193">
        <f>SUM(J68:J71)</f>
        <v>25.692499999999999</v>
      </c>
      <c r="K72" s="156"/>
      <c r="L72" s="65"/>
      <c r="M72" s="72">
        <f>SUM(M68:M71)</f>
        <v>6.7904280000000012</v>
      </c>
    </row>
    <row r="73" spans="1:13" ht="21" customHeight="1" x14ac:dyDescent="0.25">
      <c r="A73" s="782"/>
      <c r="B73" s="138" t="s">
        <v>180</v>
      </c>
      <c r="C73" s="124">
        <v>180</v>
      </c>
      <c r="D73" s="13"/>
      <c r="E73" s="13"/>
      <c r="F73" s="63"/>
      <c r="G73" s="63"/>
      <c r="H73" s="63"/>
      <c r="I73" s="63"/>
      <c r="J73" s="96"/>
      <c r="K73" s="108" t="s">
        <v>181</v>
      </c>
      <c r="L73" s="65"/>
      <c r="M73" s="68"/>
    </row>
    <row r="74" spans="1:13" x14ac:dyDescent="0.25">
      <c r="A74" s="782"/>
      <c r="B74" s="107" t="s">
        <v>182</v>
      </c>
      <c r="C74" s="107"/>
      <c r="D74" s="63">
        <v>18</v>
      </c>
      <c r="E74" s="63" t="s">
        <v>183</v>
      </c>
      <c r="F74" s="63">
        <v>0.93600000000000005</v>
      </c>
      <c r="G74" s="63">
        <v>5.3999999999999999E-2</v>
      </c>
      <c r="H74" s="63">
        <v>9.18</v>
      </c>
      <c r="I74" s="63">
        <v>41.76</v>
      </c>
      <c r="J74" s="96">
        <v>0.72</v>
      </c>
      <c r="K74" s="136"/>
      <c r="L74" s="114">
        <v>100</v>
      </c>
      <c r="M74" s="68">
        <f>SUM(L74*D74)/1000</f>
        <v>1.8</v>
      </c>
    </row>
    <row r="75" spans="1:13" x14ac:dyDescent="0.25">
      <c r="A75" s="782"/>
      <c r="B75" s="107" t="s">
        <v>38</v>
      </c>
      <c r="C75" s="107"/>
      <c r="D75" s="63">
        <v>14.4</v>
      </c>
      <c r="E75" s="63">
        <v>14.4</v>
      </c>
      <c r="F75" s="63">
        <v>0</v>
      </c>
      <c r="G75" s="63">
        <v>0</v>
      </c>
      <c r="H75" s="63">
        <v>14.371</v>
      </c>
      <c r="I75" s="63">
        <v>54.576000000000001</v>
      </c>
      <c r="J75" s="96">
        <v>0</v>
      </c>
      <c r="K75" s="136"/>
      <c r="L75" s="114">
        <v>50.7</v>
      </c>
      <c r="M75" s="68">
        <f>SUM(L75*D75)/1000</f>
        <v>0.73008000000000006</v>
      </c>
    </row>
    <row r="76" spans="1:13" x14ac:dyDescent="0.25">
      <c r="A76" s="782"/>
      <c r="B76" s="107" t="s">
        <v>19</v>
      </c>
      <c r="C76" s="107"/>
      <c r="D76" s="63">
        <v>182.7</v>
      </c>
      <c r="E76" s="63">
        <v>182.7</v>
      </c>
      <c r="F76" s="63">
        <v>0</v>
      </c>
      <c r="G76" s="63">
        <v>0</v>
      </c>
      <c r="H76" s="63">
        <v>0</v>
      </c>
      <c r="I76" s="63">
        <v>0</v>
      </c>
      <c r="J76" s="96">
        <v>0</v>
      </c>
      <c r="K76" s="136"/>
      <c r="L76" s="114">
        <v>0</v>
      </c>
      <c r="M76" s="68">
        <f>SUM(L76*D76)/1000</f>
        <v>0</v>
      </c>
    </row>
    <row r="77" spans="1:13" x14ac:dyDescent="0.25">
      <c r="A77" s="782"/>
      <c r="B77" s="107"/>
      <c r="C77" s="107"/>
      <c r="D77" s="63"/>
      <c r="E77" s="63"/>
      <c r="F77" s="118">
        <f>SUM(F74:F76)</f>
        <v>0.93600000000000005</v>
      </c>
      <c r="G77" s="118">
        <f>SUM(G74:G76)</f>
        <v>5.3999999999999999E-2</v>
      </c>
      <c r="H77" s="118">
        <f>SUM(H74:H76)</f>
        <v>23.551000000000002</v>
      </c>
      <c r="I77" s="118">
        <f>SUM(I74:I76)</f>
        <v>96.335999999999999</v>
      </c>
      <c r="J77" s="118">
        <f>SUM(J74:J76)</f>
        <v>0.72</v>
      </c>
      <c r="K77" s="153"/>
      <c r="L77" s="47"/>
      <c r="M77" s="72">
        <f>SUM(M74:M76)</f>
        <v>2.5300799999999999</v>
      </c>
    </row>
    <row r="78" spans="1:13" x14ac:dyDescent="0.25">
      <c r="A78" s="782"/>
      <c r="B78" s="647" t="s">
        <v>40</v>
      </c>
      <c r="C78" s="124">
        <v>70</v>
      </c>
      <c r="D78" s="63">
        <v>70</v>
      </c>
      <c r="E78" s="63">
        <v>70</v>
      </c>
      <c r="F78" s="118">
        <v>3.85</v>
      </c>
      <c r="G78" s="118">
        <v>1.5</v>
      </c>
      <c r="H78" s="118">
        <v>24.9</v>
      </c>
      <c r="I78" s="118">
        <v>131</v>
      </c>
      <c r="J78" s="139">
        <v>0</v>
      </c>
      <c r="K78" s="153" t="s">
        <v>73</v>
      </c>
      <c r="L78" s="114">
        <v>35</v>
      </c>
      <c r="M78" s="72">
        <f>SUM(L78*D78)/1000</f>
        <v>2.4500000000000002</v>
      </c>
    </row>
    <row r="79" spans="1:13" x14ac:dyDescent="0.25">
      <c r="A79" s="783"/>
      <c r="B79" s="124" t="s">
        <v>74</v>
      </c>
      <c r="C79" s="227"/>
      <c r="D79" s="102"/>
      <c r="E79" s="63"/>
      <c r="F79" s="273">
        <f>F55+F66+F72+F77+F78</f>
        <v>22.458400000000001</v>
      </c>
      <c r="G79" s="273">
        <f>G55++G56+G72+G77+G78</f>
        <v>11.532500000000001</v>
      </c>
      <c r="H79" s="273">
        <f>H55+H66+H72+H77+H78</f>
        <v>90.868400000000008</v>
      </c>
      <c r="I79" s="273">
        <f>I55+I66+I72+I77+I78</f>
        <v>630.69900000000007</v>
      </c>
      <c r="J79" s="273">
        <f>J55+J66+J72+J77+J78</f>
        <v>46.3825</v>
      </c>
      <c r="K79" s="158"/>
      <c r="L79" s="65"/>
      <c r="M79" s="273">
        <f>SUM(M55+M56+M72+M77+M78)</f>
        <v>25.828708000000002</v>
      </c>
    </row>
    <row r="80" spans="1:13" x14ac:dyDescent="0.25">
      <c r="A80" s="8" t="s">
        <v>42</v>
      </c>
      <c r="B80" s="726" t="s">
        <v>408</v>
      </c>
      <c r="C80" s="105">
        <v>100</v>
      </c>
      <c r="D80" s="13"/>
      <c r="E80" s="13"/>
      <c r="F80" s="110">
        <v>0.62</v>
      </c>
      <c r="G80" s="110">
        <v>0.32</v>
      </c>
      <c r="H80" s="110">
        <v>5.5</v>
      </c>
      <c r="I80" s="110">
        <v>27.5</v>
      </c>
      <c r="J80" s="97">
        <v>0</v>
      </c>
      <c r="K80" s="112" t="s">
        <v>413</v>
      </c>
      <c r="L80" s="65"/>
      <c r="M80" s="64"/>
    </row>
    <row r="81" spans="1:13" x14ac:dyDescent="0.25">
      <c r="A81" s="727"/>
      <c r="B81" s="157" t="s">
        <v>33</v>
      </c>
      <c r="C81" s="286"/>
      <c r="D81" s="51">
        <v>54.6</v>
      </c>
      <c r="E81" s="51">
        <v>54.6</v>
      </c>
      <c r="F81" s="295">
        <v>2</v>
      </c>
      <c r="G81" s="763">
        <v>0.6</v>
      </c>
      <c r="H81" s="295">
        <v>44.8</v>
      </c>
      <c r="I81" s="295">
        <v>196</v>
      </c>
      <c r="J81" s="296"/>
      <c r="K81" s="233"/>
      <c r="L81" s="65"/>
      <c r="M81" s="64"/>
    </row>
    <row r="82" spans="1:13" x14ac:dyDescent="0.25">
      <c r="A82" s="727"/>
      <c r="B82" s="186" t="s">
        <v>38</v>
      </c>
      <c r="C82" s="194"/>
      <c r="D82" s="63">
        <v>3.3</v>
      </c>
      <c r="E82" s="63">
        <v>3.3</v>
      </c>
      <c r="F82" s="297">
        <v>0</v>
      </c>
      <c r="G82" s="297">
        <v>0</v>
      </c>
      <c r="H82" s="297">
        <v>3.3</v>
      </c>
      <c r="I82" s="297">
        <v>13.2</v>
      </c>
      <c r="J82" s="298"/>
      <c r="K82" s="233"/>
      <c r="L82" s="65"/>
      <c r="M82" s="64"/>
    </row>
    <row r="83" spans="1:13" x14ac:dyDescent="0.25">
      <c r="A83" s="727"/>
      <c r="B83" s="107" t="s">
        <v>21</v>
      </c>
      <c r="C83" s="194"/>
      <c r="D83" s="63">
        <v>2.7</v>
      </c>
      <c r="E83" s="63">
        <v>2.7</v>
      </c>
      <c r="F83" s="194">
        <v>0.6</v>
      </c>
      <c r="G83" s="194">
        <v>82</v>
      </c>
      <c r="H83" s="194">
        <v>0.8</v>
      </c>
      <c r="I83" s="194">
        <v>743</v>
      </c>
      <c r="J83" s="97"/>
      <c r="K83" s="112"/>
      <c r="L83" s="65"/>
      <c r="M83" s="64"/>
    </row>
    <row r="84" spans="1:13" x14ac:dyDescent="0.25">
      <c r="A84" s="727"/>
      <c r="B84" s="107" t="s">
        <v>163</v>
      </c>
      <c r="C84" s="194"/>
      <c r="D84" s="195">
        <v>2.7</v>
      </c>
      <c r="E84" s="63">
        <v>2.7</v>
      </c>
      <c r="F84" s="297">
        <v>12.7</v>
      </c>
      <c r="G84" s="297">
        <v>11.5</v>
      </c>
      <c r="H84" s="297">
        <v>0.7</v>
      </c>
      <c r="I84" s="297">
        <v>157</v>
      </c>
      <c r="J84" s="298"/>
      <c r="K84" s="233"/>
      <c r="L84" s="65"/>
      <c r="M84" s="64"/>
    </row>
    <row r="85" spans="1:13" x14ac:dyDescent="0.25">
      <c r="A85" s="727"/>
      <c r="B85" s="107" t="s">
        <v>414</v>
      </c>
      <c r="C85" s="194"/>
      <c r="D85" s="63">
        <v>0.4</v>
      </c>
      <c r="E85" s="63">
        <v>0.4</v>
      </c>
      <c r="F85" s="297">
        <v>0</v>
      </c>
      <c r="G85" s="297">
        <v>0</v>
      </c>
      <c r="H85" s="297">
        <v>0</v>
      </c>
      <c r="I85" s="297">
        <v>0.3</v>
      </c>
      <c r="J85" s="298"/>
      <c r="K85" s="233"/>
      <c r="L85" s="65"/>
      <c r="M85" s="64"/>
    </row>
    <row r="86" spans="1:13" x14ac:dyDescent="0.25">
      <c r="A86" s="727"/>
      <c r="B86" s="107" t="s">
        <v>112</v>
      </c>
      <c r="C86" s="194"/>
      <c r="D86" s="63">
        <v>0.5</v>
      </c>
      <c r="E86" s="63">
        <v>0.5</v>
      </c>
      <c r="F86" s="297">
        <v>0</v>
      </c>
      <c r="G86" s="297">
        <v>0</v>
      </c>
      <c r="H86" s="297">
        <v>0</v>
      </c>
      <c r="I86" s="297">
        <v>0</v>
      </c>
      <c r="J86" s="298"/>
      <c r="K86" s="233"/>
      <c r="L86" s="65"/>
      <c r="M86" s="64"/>
    </row>
    <row r="87" spans="1:13" x14ac:dyDescent="0.25">
      <c r="A87" s="727"/>
      <c r="B87" s="726" t="s">
        <v>415</v>
      </c>
      <c r="C87" s="122"/>
      <c r="D87" s="13">
        <v>23</v>
      </c>
      <c r="E87" s="13">
        <v>23</v>
      </c>
      <c r="F87" s="297">
        <v>0</v>
      </c>
      <c r="G87" s="297">
        <v>0</v>
      </c>
      <c r="H87" s="297">
        <v>0</v>
      </c>
      <c r="I87" s="297">
        <v>0</v>
      </c>
      <c r="J87" s="298">
        <v>0</v>
      </c>
      <c r="K87" s="233"/>
      <c r="L87" s="65"/>
      <c r="M87" s="64"/>
    </row>
    <row r="88" spans="1:13" x14ac:dyDescent="0.25">
      <c r="A88" s="727"/>
      <c r="B88" s="107" t="s">
        <v>96</v>
      </c>
      <c r="C88" s="194">
        <v>86</v>
      </c>
      <c r="D88" s="63"/>
      <c r="E88" s="63"/>
      <c r="F88" s="37">
        <f>SUM(F81:F87)</f>
        <v>15.299999999999999</v>
      </c>
      <c r="G88" s="37">
        <f>SUM(G81:G87)</f>
        <v>94.1</v>
      </c>
      <c r="H88" s="37">
        <f>SUM(H81:H87)</f>
        <v>49.599999999999994</v>
      </c>
      <c r="I88" s="37">
        <f>SUM(I81:I87)</f>
        <v>1109.5</v>
      </c>
      <c r="J88" s="298"/>
      <c r="K88" s="233"/>
      <c r="L88" s="65"/>
      <c r="M88" s="64"/>
    </row>
    <row r="89" spans="1:13" x14ac:dyDescent="0.25">
      <c r="A89" s="727"/>
      <c r="B89" s="107" t="s">
        <v>146</v>
      </c>
      <c r="C89" s="194"/>
      <c r="D89" s="63">
        <v>33.299999999999997</v>
      </c>
      <c r="E89" s="63">
        <v>30</v>
      </c>
      <c r="F89" s="297">
        <v>0</v>
      </c>
      <c r="G89" s="297">
        <v>0</v>
      </c>
      <c r="H89" s="297">
        <v>15</v>
      </c>
      <c r="I89" s="297">
        <v>60</v>
      </c>
      <c r="J89" s="298"/>
      <c r="K89" s="233"/>
      <c r="L89" s="65"/>
      <c r="M89" s="64"/>
    </row>
    <row r="90" spans="1:13" ht="30" x14ac:dyDescent="0.25">
      <c r="A90" s="727"/>
      <c r="B90" s="186" t="s">
        <v>416</v>
      </c>
      <c r="C90" s="194"/>
      <c r="D90" s="63">
        <v>0.3</v>
      </c>
      <c r="E90" s="63">
        <v>0.3</v>
      </c>
      <c r="F90" s="297">
        <v>0</v>
      </c>
      <c r="G90" s="297">
        <v>0.3</v>
      </c>
      <c r="H90" s="297">
        <v>0</v>
      </c>
      <c r="I90" s="297">
        <v>2.7</v>
      </c>
      <c r="J90" s="298"/>
      <c r="K90" s="233"/>
      <c r="L90" s="65"/>
      <c r="M90" s="64"/>
    </row>
    <row r="91" spans="1:13" x14ac:dyDescent="0.25">
      <c r="A91" s="727"/>
      <c r="B91" s="186" t="s">
        <v>417</v>
      </c>
      <c r="C91" s="194"/>
      <c r="D91" s="63">
        <v>0.25</v>
      </c>
      <c r="E91" s="63">
        <v>0.25</v>
      </c>
      <c r="F91" s="297">
        <v>12.7</v>
      </c>
      <c r="G91" s="297">
        <v>11.5</v>
      </c>
      <c r="H91" s="297">
        <v>0.7</v>
      </c>
      <c r="I91" s="297">
        <v>157</v>
      </c>
      <c r="J91" s="298"/>
      <c r="K91" s="233"/>
      <c r="L91" s="65"/>
      <c r="M91" s="64"/>
    </row>
    <row r="92" spans="1:13" x14ac:dyDescent="0.25">
      <c r="A92" s="727"/>
      <c r="B92" s="186"/>
      <c r="C92" s="186"/>
      <c r="D92" s="63"/>
      <c r="E92" s="63"/>
      <c r="F92" s="130">
        <f>SUM(F89:F91)</f>
        <v>12.7</v>
      </c>
      <c r="G92" s="130">
        <f>SUM(G89:G91)</f>
        <v>11.8</v>
      </c>
      <c r="H92" s="130">
        <f>SUM(H89:H91)</f>
        <v>15.7</v>
      </c>
      <c r="I92" s="130">
        <f>SUM(I89:I91)</f>
        <v>219.7</v>
      </c>
      <c r="J92" s="130"/>
      <c r="K92" s="158"/>
      <c r="L92" s="65"/>
      <c r="M92" s="64"/>
    </row>
    <row r="93" spans="1:13" ht="15" hidden="1" customHeight="1" x14ac:dyDescent="0.25">
      <c r="A93" s="723"/>
      <c r="B93" s="107" t="s">
        <v>185</v>
      </c>
      <c r="C93" s="107"/>
      <c r="D93" s="63">
        <v>0.3</v>
      </c>
      <c r="E93" s="63">
        <v>0.3</v>
      </c>
      <c r="F93" s="63">
        <v>0.06</v>
      </c>
      <c r="G93" s="63">
        <v>0</v>
      </c>
      <c r="H93" s="63">
        <v>2.07E-2</v>
      </c>
      <c r="I93" s="63">
        <v>0.45540000000000003</v>
      </c>
      <c r="J93" s="96">
        <v>0.03</v>
      </c>
      <c r="K93" s="126"/>
      <c r="L93" s="65"/>
      <c r="M93" s="71"/>
    </row>
    <row r="94" spans="1:13" ht="15" hidden="1" customHeight="1" x14ac:dyDescent="0.25">
      <c r="A94" s="9" t="s">
        <v>47</v>
      </c>
      <c r="B94" s="107" t="s">
        <v>49</v>
      </c>
      <c r="C94" s="107"/>
      <c r="D94" s="63">
        <v>10</v>
      </c>
      <c r="E94" s="63">
        <v>10</v>
      </c>
      <c r="F94" s="63">
        <v>0</v>
      </c>
      <c r="G94" s="63">
        <v>0</v>
      </c>
      <c r="H94" s="63">
        <v>9.98</v>
      </c>
      <c r="I94" s="63">
        <v>37.9</v>
      </c>
      <c r="J94" s="96">
        <v>0</v>
      </c>
      <c r="K94" s="126"/>
      <c r="L94" s="65"/>
      <c r="M94" s="64"/>
    </row>
    <row r="95" spans="1:13" ht="15" hidden="1" customHeight="1" x14ac:dyDescent="0.25">
      <c r="A95" s="781"/>
      <c r="B95" s="107" t="s">
        <v>19</v>
      </c>
      <c r="C95" s="107"/>
      <c r="D95" s="63">
        <v>150</v>
      </c>
      <c r="E95" s="63">
        <v>150</v>
      </c>
      <c r="F95" s="63">
        <v>0</v>
      </c>
      <c r="G95" s="63">
        <v>0</v>
      </c>
      <c r="H95" s="63">
        <v>0</v>
      </c>
      <c r="I95" s="63">
        <v>0</v>
      </c>
      <c r="J95" s="96">
        <v>0</v>
      </c>
      <c r="K95" s="126"/>
      <c r="L95" s="65"/>
      <c r="M95" s="64"/>
    </row>
    <row r="96" spans="1:13" ht="15" hidden="1" customHeight="1" x14ac:dyDescent="0.25">
      <c r="A96" s="782"/>
      <c r="B96" s="157"/>
      <c r="C96" s="157"/>
      <c r="D96" s="51"/>
      <c r="E96" s="51"/>
      <c r="F96" s="274">
        <f>SUM(F93:F95)</f>
        <v>0.06</v>
      </c>
      <c r="G96" s="274">
        <f>SUM(G93:G95)</f>
        <v>0</v>
      </c>
      <c r="H96" s="274">
        <f>SUM(H93:H95)</f>
        <v>10.0007</v>
      </c>
      <c r="I96" s="274">
        <f>SUM(I93:I95)</f>
        <v>38.355399999999996</v>
      </c>
      <c r="J96" s="279">
        <f>SUM(J93:J95)</f>
        <v>0.03</v>
      </c>
      <c r="K96" s="156"/>
      <c r="L96" s="114"/>
      <c r="M96" s="68"/>
    </row>
    <row r="97" spans="1:13" ht="15" hidden="1" customHeight="1" x14ac:dyDescent="0.25">
      <c r="A97" s="782"/>
      <c r="B97" s="124" t="s">
        <v>46</v>
      </c>
      <c r="C97" s="124"/>
      <c r="D97" s="13"/>
      <c r="E97" s="13"/>
      <c r="F97" s="282">
        <f>F92+F96</f>
        <v>12.76</v>
      </c>
      <c r="G97" s="282">
        <f>G92+G96</f>
        <v>11.8</v>
      </c>
      <c r="H97" s="282">
        <f>H92+H96</f>
        <v>25.700699999999998</v>
      </c>
      <c r="I97" s="282">
        <f>I92+I96</f>
        <v>258.05539999999996</v>
      </c>
      <c r="J97" s="282">
        <f>J92+J96</f>
        <v>0.03</v>
      </c>
      <c r="K97" s="158"/>
      <c r="L97" s="114"/>
      <c r="M97" s="68"/>
    </row>
    <row r="98" spans="1:13" ht="15" hidden="1" customHeight="1" x14ac:dyDescent="0.25">
      <c r="A98" s="782"/>
      <c r="B98" s="107"/>
      <c r="C98" s="107"/>
      <c r="D98" s="63"/>
      <c r="E98" s="63"/>
      <c r="F98" s="118"/>
      <c r="G98" s="118"/>
      <c r="H98" s="118"/>
      <c r="I98" s="118"/>
      <c r="J98" s="118"/>
      <c r="K98" s="128"/>
      <c r="L98" s="65"/>
      <c r="M98" s="72"/>
    </row>
    <row r="99" spans="1:13" x14ac:dyDescent="0.25">
      <c r="A99" s="782"/>
      <c r="B99" s="647" t="s">
        <v>72</v>
      </c>
      <c r="C99" s="105" t="s">
        <v>187</v>
      </c>
      <c r="D99" s="13"/>
      <c r="E99" s="13"/>
      <c r="F99" s="13"/>
      <c r="G99" s="13"/>
      <c r="H99" s="13"/>
      <c r="I99" s="13"/>
      <c r="J99" s="96"/>
      <c r="K99" s="125" t="s">
        <v>188</v>
      </c>
      <c r="L99" s="65"/>
      <c r="M99" s="64"/>
    </row>
    <row r="100" spans="1:13" x14ac:dyDescent="0.25">
      <c r="A100" s="782"/>
      <c r="B100" s="647" t="s">
        <v>184</v>
      </c>
      <c r="C100" s="124"/>
      <c r="D100" s="13">
        <v>30</v>
      </c>
      <c r="E100" s="13">
        <v>30</v>
      </c>
      <c r="F100" s="13"/>
      <c r="G100" s="13"/>
      <c r="H100" s="13"/>
      <c r="I100" s="13"/>
      <c r="J100" s="96"/>
      <c r="K100" s="125"/>
      <c r="L100" s="65"/>
      <c r="M100" s="64"/>
    </row>
    <row r="101" spans="1:13" x14ac:dyDescent="0.25">
      <c r="A101" s="782"/>
      <c r="B101" s="107" t="s">
        <v>120</v>
      </c>
      <c r="C101" s="124"/>
      <c r="D101" s="63">
        <v>32.4</v>
      </c>
      <c r="E101" s="63">
        <v>32.4</v>
      </c>
      <c r="F101" s="63">
        <v>0</v>
      </c>
      <c r="G101" s="63">
        <v>0</v>
      </c>
      <c r="H101" s="63">
        <v>0</v>
      </c>
      <c r="I101" s="63">
        <v>0</v>
      </c>
      <c r="J101" s="96">
        <v>0</v>
      </c>
      <c r="K101" s="125"/>
      <c r="L101" s="65">
        <v>0</v>
      </c>
      <c r="M101" s="68">
        <f>SUM(L101*D101)/1000</f>
        <v>0</v>
      </c>
    </row>
    <row r="102" spans="1:13" x14ac:dyDescent="0.25">
      <c r="A102" s="782"/>
      <c r="B102" s="107" t="s">
        <v>185</v>
      </c>
      <c r="C102" s="107"/>
      <c r="D102" s="63">
        <v>0.3</v>
      </c>
      <c r="E102" s="63">
        <v>0.3</v>
      </c>
      <c r="F102" s="63">
        <v>0.06</v>
      </c>
      <c r="G102" s="63">
        <v>0</v>
      </c>
      <c r="H102" s="63">
        <v>2.07E-2</v>
      </c>
      <c r="I102" s="63">
        <v>0.45540000000000003</v>
      </c>
      <c r="J102" s="96">
        <v>0.03</v>
      </c>
      <c r="K102" s="126"/>
      <c r="L102" s="114">
        <v>375</v>
      </c>
      <c r="M102" s="68">
        <f>SUM(L102*D102)/1000</f>
        <v>0.1125</v>
      </c>
    </row>
    <row r="103" spans="1:13" x14ac:dyDescent="0.25">
      <c r="A103" s="782"/>
      <c r="B103" s="107" t="s">
        <v>49</v>
      </c>
      <c r="C103" s="107"/>
      <c r="D103" s="63">
        <v>10</v>
      </c>
      <c r="E103" s="63">
        <v>10</v>
      </c>
      <c r="F103" s="63">
        <v>0</v>
      </c>
      <c r="G103" s="63">
        <v>0</v>
      </c>
      <c r="H103" s="63">
        <v>9.98</v>
      </c>
      <c r="I103" s="63">
        <v>37.9</v>
      </c>
      <c r="J103" s="96">
        <v>0</v>
      </c>
      <c r="K103" s="126"/>
      <c r="L103" s="114">
        <v>50</v>
      </c>
      <c r="M103" s="68">
        <f>SUM(L103*D103)/1000</f>
        <v>0.5</v>
      </c>
    </row>
    <row r="104" spans="1:13" x14ac:dyDescent="0.25">
      <c r="A104" s="782"/>
      <c r="B104" s="107" t="s">
        <v>19</v>
      </c>
      <c r="C104" s="107"/>
      <c r="D104" s="63">
        <v>150</v>
      </c>
      <c r="E104" s="63">
        <v>150</v>
      </c>
      <c r="F104" s="63">
        <v>0</v>
      </c>
      <c r="G104" s="63">
        <v>0</v>
      </c>
      <c r="H104" s="63">
        <v>0</v>
      </c>
      <c r="I104" s="63">
        <v>0</v>
      </c>
      <c r="J104" s="96">
        <v>0</v>
      </c>
      <c r="K104" s="126"/>
      <c r="L104" s="114">
        <v>0</v>
      </c>
      <c r="M104" s="68">
        <f>SUM(L104*D104)/1000</f>
        <v>0</v>
      </c>
    </row>
    <row r="105" spans="1:13" x14ac:dyDescent="0.25">
      <c r="A105" s="782"/>
      <c r="B105" s="107"/>
      <c r="C105" s="107"/>
      <c r="D105" s="63"/>
      <c r="E105" s="63"/>
      <c r="F105" s="118">
        <f>SUM(F101:F104)</f>
        <v>0.06</v>
      </c>
      <c r="G105" s="118">
        <f>SUM(G101:G104)</f>
        <v>0</v>
      </c>
      <c r="H105" s="118">
        <f>SUM(H101:H104)</f>
        <v>10.0007</v>
      </c>
      <c r="I105" s="118">
        <f>SUM(I101:I104)</f>
        <v>38.355399999999996</v>
      </c>
      <c r="J105" s="118">
        <f>SUM(J101:J104)</f>
        <v>0.03</v>
      </c>
      <c r="K105" s="128"/>
      <c r="L105" s="65"/>
      <c r="M105" s="72">
        <f>SUM(M102:M104)</f>
        <v>0.61250000000000004</v>
      </c>
    </row>
    <row r="106" spans="1:13" x14ac:dyDescent="0.25">
      <c r="A106" s="783"/>
      <c r="B106" s="124" t="s">
        <v>46</v>
      </c>
      <c r="C106" s="124"/>
      <c r="D106" s="13"/>
      <c r="E106" s="13"/>
      <c r="F106" s="142">
        <f>F92+F105</f>
        <v>12.76</v>
      </c>
      <c r="G106" s="142">
        <f>G92+G105</f>
        <v>11.8</v>
      </c>
      <c r="H106" s="142">
        <f>H92+H105</f>
        <v>25.700699999999998</v>
      </c>
      <c r="I106" s="142">
        <f>I92+I105</f>
        <v>258.05539999999996</v>
      </c>
      <c r="J106" s="143">
        <f>J92+J105</f>
        <v>0.03</v>
      </c>
      <c r="K106" s="129"/>
      <c r="L106" s="65"/>
      <c r="M106" s="71">
        <f>SUM(M98,M105)</f>
        <v>0.61250000000000004</v>
      </c>
    </row>
    <row r="107" spans="1:13" ht="25.5" x14ac:dyDescent="0.25">
      <c r="A107" s="535" t="s">
        <v>51</v>
      </c>
      <c r="B107" s="146"/>
      <c r="C107" s="146"/>
      <c r="D107" s="63"/>
      <c r="E107" s="63"/>
      <c r="F107" s="320">
        <f>F23+F79+F106</f>
        <v>40.023400000000002</v>
      </c>
      <c r="G107" s="320">
        <f>G23+G79+G106</f>
        <v>33.917500000000004</v>
      </c>
      <c r="H107" s="320">
        <f>H23+H79+H106</f>
        <v>142.22710000000001</v>
      </c>
      <c r="I107" s="320">
        <f>I23+I79+I106</f>
        <v>1107.3044</v>
      </c>
      <c r="J107" s="320">
        <f>J23+J79+J106</f>
        <v>47.647500000000001</v>
      </c>
      <c r="K107" s="12"/>
      <c r="L107" s="74"/>
      <c r="M107" s="75">
        <f>SUM(M41,M79,M93,M106)</f>
        <v>26.441208000000003</v>
      </c>
    </row>
    <row r="108" spans="1:13" x14ac:dyDescent="0.25">
      <c r="A108" s="13" t="s">
        <v>52</v>
      </c>
      <c r="B108" s="13"/>
      <c r="C108" s="13"/>
      <c r="D108" s="63"/>
      <c r="E108" s="63"/>
      <c r="F108" s="13"/>
      <c r="G108" s="13"/>
      <c r="H108" s="13"/>
      <c r="I108" s="13"/>
      <c r="J108" s="96"/>
      <c r="K108" s="108"/>
      <c r="L108" s="65"/>
      <c r="M108" s="64"/>
    </row>
    <row r="109" spans="1:13" x14ac:dyDescent="0.25">
      <c r="A109" s="13" t="s">
        <v>53</v>
      </c>
      <c r="B109" s="13"/>
      <c r="C109" s="4"/>
      <c r="D109" s="105"/>
      <c r="E109" s="106"/>
      <c r="F109" s="63"/>
      <c r="G109" s="63"/>
      <c r="H109" s="63"/>
      <c r="I109" s="107"/>
      <c r="J109" s="96"/>
      <c r="K109" s="108"/>
      <c r="L109" s="65"/>
      <c r="M109" s="64"/>
    </row>
    <row r="110" spans="1:13" ht="33.75" customHeight="1" x14ac:dyDescent="0.25">
      <c r="A110" s="781"/>
      <c r="B110" s="647" t="s">
        <v>197</v>
      </c>
      <c r="C110" s="124">
        <v>180</v>
      </c>
      <c r="D110" s="13"/>
      <c r="E110" s="13"/>
      <c r="F110" s="107"/>
      <c r="G110" s="107"/>
      <c r="H110" s="107"/>
      <c r="I110" s="107"/>
      <c r="J110" s="96"/>
      <c r="K110" s="125" t="s">
        <v>192</v>
      </c>
      <c r="L110" s="65"/>
      <c r="M110" s="64"/>
    </row>
    <row r="111" spans="1:13" x14ac:dyDescent="0.25">
      <c r="A111" s="782"/>
      <c r="B111" s="107" t="s">
        <v>44</v>
      </c>
      <c r="C111" s="107"/>
      <c r="D111" s="63">
        <v>126</v>
      </c>
      <c r="E111" s="63">
        <v>126</v>
      </c>
      <c r="F111" s="63">
        <v>3.528</v>
      </c>
      <c r="G111" s="63">
        <v>4.032</v>
      </c>
      <c r="H111" s="63">
        <v>5.9219999999999997</v>
      </c>
      <c r="I111" s="63">
        <v>73.08</v>
      </c>
      <c r="J111" s="96">
        <v>1.6379999999999999</v>
      </c>
      <c r="K111" s="126"/>
      <c r="L111" s="114">
        <v>41</v>
      </c>
      <c r="M111" s="68">
        <f t="shared" ref="M111:M116" si="3">SUM(L111*D111)/1000</f>
        <v>5.1660000000000004</v>
      </c>
    </row>
    <row r="112" spans="1:13" x14ac:dyDescent="0.25">
      <c r="A112" s="782"/>
      <c r="B112" s="107" t="s">
        <v>19</v>
      </c>
      <c r="C112" s="107"/>
      <c r="D112" s="63">
        <v>54</v>
      </c>
      <c r="E112" s="63">
        <v>54</v>
      </c>
      <c r="F112" s="63">
        <v>0</v>
      </c>
      <c r="G112" s="63">
        <v>0</v>
      </c>
      <c r="H112" s="63">
        <v>0</v>
      </c>
      <c r="I112" s="63">
        <v>0</v>
      </c>
      <c r="J112" s="96">
        <v>0</v>
      </c>
      <c r="K112" s="126"/>
      <c r="L112" s="114">
        <v>0</v>
      </c>
      <c r="M112" s="68">
        <f t="shared" si="3"/>
        <v>0</v>
      </c>
    </row>
    <row r="113" spans="1:13" x14ac:dyDescent="0.25">
      <c r="A113" s="782"/>
      <c r="B113" s="107" t="s">
        <v>54</v>
      </c>
      <c r="C113" s="107"/>
      <c r="D113" s="63">
        <v>10.8</v>
      </c>
      <c r="E113" s="63">
        <v>10.8</v>
      </c>
      <c r="F113" s="63">
        <v>0.84</v>
      </c>
      <c r="G113" s="63">
        <v>0.12</v>
      </c>
      <c r="H113" s="63">
        <v>8.5679999999999996</v>
      </c>
      <c r="I113" s="63">
        <v>39.6</v>
      </c>
      <c r="J113" s="96">
        <v>0</v>
      </c>
      <c r="K113" s="126"/>
      <c r="L113" s="114">
        <v>33</v>
      </c>
      <c r="M113" s="68">
        <f t="shared" si="3"/>
        <v>0.35640000000000005</v>
      </c>
    </row>
    <row r="114" spans="1:13" x14ac:dyDescent="0.25">
      <c r="A114" s="782"/>
      <c r="B114" s="107" t="s">
        <v>21</v>
      </c>
      <c r="C114" s="107"/>
      <c r="D114" s="63">
        <v>1.8</v>
      </c>
      <c r="E114" s="63">
        <v>1.8</v>
      </c>
      <c r="F114" s="63">
        <v>1.4E-2</v>
      </c>
      <c r="G114" s="63">
        <v>1.3049999999999999</v>
      </c>
      <c r="H114" s="63">
        <v>2.3E-2</v>
      </c>
      <c r="I114" s="63">
        <v>11.89</v>
      </c>
      <c r="J114" s="96">
        <v>0</v>
      </c>
      <c r="K114" s="126"/>
      <c r="L114" s="114">
        <v>310</v>
      </c>
      <c r="M114" s="68">
        <f t="shared" si="3"/>
        <v>0.55800000000000005</v>
      </c>
    </row>
    <row r="115" spans="1:13" x14ac:dyDescent="0.25">
      <c r="A115" s="782"/>
      <c r="B115" s="107" t="s">
        <v>49</v>
      </c>
      <c r="C115" s="107"/>
      <c r="D115" s="63">
        <v>1.44</v>
      </c>
      <c r="E115" s="63">
        <v>1.44</v>
      </c>
      <c r="F115" s="63">
        <v>0</v>
      </c>
      <c r="G115" s="63">
        <v>0</v>
      </c>
      <c r="H115" s="63">
        <v>1.4370000000000001</v>
      </c>
      <c r="I115" s="63">
        <v>5.4569999999999999</v>
      </c>
      <c r="J115" s="96">
        <v>0</v>
      </c>
      <c r="K115" s="126"/>
      <c r="L115" s="114">
        <v>50</v>
      </c>
      <c r="M115" s="68">
        <f t="shared" si="3"/>
        <v>7.1999999999999995E-2</v>
      </c>
    </row>
    <row r="116" spans="1:13" x14ac:dyDescent="0.25">
      <c r="A116" s="782"/>
      <c r="B116" s="107" t="s">
        <v>112</v>
      </c>
      <c r="C116" s="107"/>
      <c r="D116" s="63">
        <v>0.27</v>
      </c>
      <c r="E116" s="63">
        <v>0.27</v>
      </c>
      <c r="F116" s="63">
        <v>0</v>
      </c>
      <c r="G116" s="63">
        <v>0</v>
      </c>
      <c r="H116" s="63">
        <v>0</v>
      </c>
      <c r="I116" s="63">
        <v>0</v>
      </c>
      <c r="J116" s="96">
        <v>0</v>
      </c>
      <c r="K116" s="126"/>
      <c r="L116" s="114">
        <v>16</v>
      </c>
      <c r="M116" s="68">
        <f t="shared" si="3"/>
        <v>4.3200000000000001E-3</v>
      </c>
    </row>
    <row r="117" spans="1:13" x14ac:dyDescent="0.25">
      <c r="A117" s="782"/>
      <c r="B117" s="146"/>
      <c r="C117" s="146"/>
      <c r="D117" s="63"/>
      <c r="E117" s="63"/>
      <c r="F117" s="130">
        <f>SUM(F111:F116)</f>
        <v>4.3820000000000006</v>
      </c>
      <c r="G117" s="130">
        <f t="shared" ref="G117:J117" si="4">SUM(G111:G116)</f>
        <v>5.4569999999999999</v>
      </c>
      <c r="H117" s="130">
        <f t="shared" si="4"/>
        <v>15.949999999999998</v>
      </c>
      <c r="I117" s="130">
        <f t="shared" si="4"/>
        <v>130.02700000000002</v>
      </c>
      <c r="J117" s="130">
        <f t="shared" si="4"/>
        <v>1.6379999999999999</v>
      </c>
      <c r="K117" s="129"/>
      <c r="L117" s="65"/>
      <c r="M117" s="72">
        <f>SUM(M111:M116)</f>
        <v>6.15672</v>
      </c>
    </row>
    <row r="118" spans="1:13" x14ac:dyDescent="0.25">
      <c r="A118" s="782"/>
      <c r="B118" s="647" t="s">
        <v>23</v>
      </c>
      <c r="C118" s="105">
        <v>40</v>
      </c>
      <c r="D118" s="13"/>
      <c r="E118" s="123"/>
      <c r="F118" s="110"/>
      <c r="G118" s="110"/>
      <c r="H118" s="110"/>
      <c r="I118" s="110"/>
      <c r="J118" s="97"/>
      <c r="K118" s="112" t="s">
        <v>24</v>
      </c>
      <c r="L118" s="185"/>
      <c r="M118" s="68"/>
    </row>
    <row r="119" spans="1:13" x14ac:dyDescent="0.25">
      <c r="A119" s="782"/>
      <c r="B119" s="107" t="s">
        <v>21</v>
      </c>
      <c r="C119" s="194"/>
      <c r="D119" s="63">
        <v>10</v>
      </c>
      <c r="E119" s="63">
        <v>10</v>
      </c>
      <c r="F119" s="63">
        <v>0.08</v>
      </c>
      <c r="G119" s="63">
        <v>7.25</v>
      </c>
      <c r="H119" s="63">
        <v>0.13</v>
      </c>
      <c r="I119" s="63">
        <v>66.099999999999994</v>
      </c>
      <c r="J119" s="231">
        <v>0</v>
      </c>
      <c r="K119" s="112"/>
      <c r="L119" s="185">
        <v>50</v>
      </c>
      <c r="M119" s="68">
        <f>SUM(L119*D119)/1000</f>
        <v>0.5</v>
      </c>
    </row>
    <row r="120" spans="1:13" x14ac:dyDescent="0.25">
      <c r="A120" s="782"/>
      <c r="B120" s="107" t="s">
        <v>106</v>
      </c>
      <c r="C120" s="194"/>
      <c r="D120" s="63">
        <v>30</v>
      </c>
      <c r="E120" s="63">
        <v>30</v>
      </c>
      <c r="F120" s="63">
        <v>2.31</v>
      </c>
      <c r="G120" s="63">
        <v>0.9</v>
      </c>
      <c r="H120" s="63">
        <v>14.94</v>
      </c>
      <c r="I120" s="63">
        <v>78.599999999999994</v>
      </c>
      <c r="J120" s="231">
        <v>0</v>
      </c>
      <c r="K120" s="112"/>
      <c r="L120" s="185">
        <v>110</v>
      </c>
      <c r="M120" s="68">
        <f>SUM(L120*D120)/1000</f>
        <v>3.3</v>
      </c>
    </row>
    <row r="121" spans="1:13" x14ac:dyDescent="0.25">
      <c r="A121" s="782"/>
      <c r="B121" s="107"/>
      <c r="C121" s="107"/>
      <c r="D121" s="63"/>
      <c r="E121" s="63"/>
      <c r="F121" s="118">
        <f>SUM(F119:F120)</f>
        <v>2.39</v>
      </c>
      <c r="G121" s="118">
        <f t="shared" ref="G121:J121" si="5">SUM(G119:G120)</f>
        <v>8.15</v>
      </c>
      <c r="H121" s="118">
        <f t="shared" si="5"/>
        <v>15.07</v>
      </c>
      <c r="I121" s="118">
        <f t="shared" si="5"/>
        <v>144.69999999999999</v>
      </c>
      <c r="J121" s="118">
        <f t="shared" si="5"/>
        <v>0</v>
      </c>
      <c r="K121" s="153"/>
      <c r="L121" s="185"/>
      <c r="M121" s="72">
        <f>SUM(M119:M120)</f>
        <v>3.8</v>
      </c>
    </row>
    <row r="122" spans="1:13" x14ac:dyDescent="0.25">
      <c r="A122" s="782"/>
      <c r="B122" s="338" t="s">
        <v>56</v>
      </c>
      <c r="C122" s="504">
        <v>180</v>
      </c>
      <c r="D122" s="505"/>
      <c r="E122" s="505"/>
      <c r="F122" s="506"/>
      <c r="G122" s="506"/>
      <c r="H122" s="506"/>
      <c r="I122" s="506"/>
      <c r="J122" s="506"/>
      <c r="K122" s="507" t="s">
        <v>249</v>
      </c>
      <c r="L122" s="65"/>
      <c r="M122" s="64"/>
    </row>
    <row r="123" spans="1:13" x14ac:dyDescent="0.25">
      <c r="A123" s="782"/>
      <c r="B123" s="342" t="s">
        <v>250</v>
      </c>
      <c r="C123" s="343"/>
      <c r="D123" s="340">
        <v>3</v>
      </c>
      <c r="E123" s="340">
        <v>3</v>
      </c>
      <c r="F123" s="340">
        <f>15*E123/100</f>
        <v>0.45</v>
      </c>
      <c r="G123" s="340">
        <f>3.6*E123/100</f>
        <v>0.10800000000000001</v>
      </c>
      <c r="H123" s="340">
        <f>7*E123/100</f>
        <v>0.21</v>
      </c>
      <c r="I123" s="345">
        <f>118.7*E123/100</f>
        <v>3.5610000000000004</v>
      </c>
      <c r="J123" s="346">
        <v>0</v>
      </c>
      <c r="K123" s="480"/>
      <c r="L123" s="65"/>
      <c r="M123" s="64"/>
    </row>
    <row r="124" spans="1:13" x14ac:dyDescent="0.25">
      <c r="A124" s="782"/>
      <c r="B124" s="342" t="s">
        <v>229</v>
      </c>
      <c r="C124" s="343"/>
      <c r="D124" s="340">
        <v>108</v>
      </c>
      <c r="E124" s="340">
        <v>108</v>
      </c>
      <c r="F124" s="340">
        <v>0</v>
      </c>
      <c r="G124" s="340">
        <v>0</v>
      </c>
      <c r="H124" s="340">
        <v>0</v>
      </c>
      <c r="I124" s="345">
        <v>0</v>
      </c>
      <c r="J124" s="346">
        <v>0</v>
      </c>
      <c r="K124" s="480"/>
      <c r="L124" s="65">
        <v>0</v>
      </c>
      <c r="M124" s="68">
        <f>SUM(L124*D124)/1000</f>
        <v>0</v>
      </c>
    </row>
    <row r="125" spans="1:13" x14ac:dyDescent="0.25">
      <c r="A125" s="782"/>
      <c r="B125" s="342" t="s">
        <v>230</v>
      </c>
      <c r="C125" s="343"/>
      <c r="D125" s="340">
        <v>10</v>
      </c>
      <c r="E125" s="340">
        <v>10</v>
      </c>
      <c r="F125" s="340">
        <v>0</v>
      </c>
      <c r="G125" s="340">
        <v>0</v>
      </c>
      <c r="H125" s="340">
        <f>99.8*E125/100</f>
        <v>9.98</v>
      </c>
      <c r="I125" s="345">
        <f>379*E125/100</f>
        <v>37.9</v>
      </c>
      <c r="J125" s="346">
        <v>0</v>
      </c>
      <c r="K125" s="480"/>
      <c r="L125" s="114">
        <v>375</v>
      </c>
      <c r="M125" s="68">
        <f>SUM(L125*D125)/1000</f>
        <v>3.75</v>
      </c>
    </row>
    <row r="126" spans="1:13" x14ac:dyDescent="0.25">
      <c r="A126" s="782"/>
      <c r="B126" s="342" t="s">
        <v>228</v>
      </c>
      <c r="C126" s="343"/>
      <c r="D126" s="340">
        <v>90</v>
      </c>
      <c r="E126" s="340">
        <v>90</v>
      </c>
      <c r="F126" s="340">
        <v>2.8</v>
      </c>
      <c r="G126" s="340">
        <v>3.2</v>
      </c>
      <c r="H126" s="340">
        <v>4.7</v>
      </c>
      <c r="I126" s="345">
        <v>58</v>
      </c>
      <c r="J126" s="346">
        <v>1.3</v>
      </c>
      <c r="K126" s="480"/>
      <c r="L126" s="114">
        <v>50</v>
      </c>
      <c r="M126" s="68">
        <f>SUM(L126*D126)/1000</f>
        <v>4.5</v>
      </c>
    </row>
    <row r="127" spans="1:13" x14ac:dyDescent="0.25">
      <c r="A127" s="782"/>
      <c r="B127" s="678"/>
      <c r="C127" s="254"/>
      <c r="D127" s="187"/>
      <c r="E127" s="187"/>
      <c r="F127" s="130">
        <f>SUM(F123:F126)</f>
        <v>3.25</v>
      </c>
      <c r="G127" s="130">
        <f>SUM(G123:G126)</f>
        <v>3.3080000000000003</v>
      </c>
      <c r="H127" s="130">
        <f>SUM(H123:H126)</f>
        <v>14.89</v>
      </c>
      <c r="I127" s="130">
        <f>SUM(I123:I126)</f>
        <v>99.460999999999999</v>
      </c>
      <c r="J127" s="131">
        <f>SUM(J123:J126)</f>
        <v>1.3</v>
      </c>
      <c r="K127" s="158"/>
      <c r="L127" s="114">
        <v>0</v>
      </c>
      <c r="M127" s="68">
        <f>SUM(L127*D127)/1000</f>
        <v>0</v>
      </c>
    </row>
    <row r="128" spans="1:13" x14ac:dyDescent="0.25">
      <c r="A128" s="783"/>
      <c r="B128" s="107"/>
      <c r="C128" s="107"/>
      <c r="D128" s="63"/>
      <c r="E128" s="63"/>
      <c r="F128" s="734"/>
      <c r="G128" s="734"/>
      <c r="H128" s="734"/>
      <c r="I128" s="734"/>
      <c r="J128" s="734"/>
      <c r="K128" s="120"/>
      <c r="L128" s="65"/>
      <c r="M128" s="72">
        <f>SUM(M123:M127)</f>
        <v>8.25</v>
      </c>
    </row>
    <row r="129" spans="1:13" ht="15" hidden="1" customHeight="1" x14ac:dyDescent="0.25">
      <c r="A129" s="781"/>
      <c r="B129" s="138"/>
      <c r="C129" s="147"/>
      <c r="D129" s="100"/>
      <c r="E129" s="100"/>
      <c r="F129" s="148"/>
      <c r="G129" s="148"/>
      <c r="H129" s="148"/>
      <c r="I129" s="148"/>
      <c r="J129" s="149"/>
      <c r="K129" s="132"/>
      <c r="L129" s="65"/>
      <c r="M129" s="67"/>
    </row>
    <row r="130" spans="1:13" x14ac:dyDescent="0.25">
      <c r="A130" s="783"/>
      <c r="B130" s="138" t="s">
        <v>57</v>
      </c>
      <c r="C130" s="150"/>
      <c r="D130" s="63"/>
      <c r="E130" s="13"/>
      <c r="F130" s="307">
        <f>F117+F121+F128+F136</f>
        <v>7.3320000000000007</v>
      </c>
      <c r="G130" s="307">
        <f>G117+G121+G128+G136</f>
        <v>13.766999999999999</v>
      </c>
      <c r="H130" s="307">
        <f>H117+H121+H128+H136</f>
        <v>170.01999999999998</v>
      </c>
      <c r="I130" s="307">
        <f>I117+I121+I128+I136</f>
        <v>829.52699999999993</v>
      </c>
      <c r="J130" s="307">
        <f>J117+J121+J128</f>
        <v>1.6379999999999999</v>
      </c>
      <c r="K130" s="132"/>
      <c r="L130" s="65"/>
      <c r="M130" s="71">
        <f>SUM(M117,M121,M128,M129)</f>
        <v>18.206720000000001</v>
      </c>
    </row>
    <row r="131" spans="1:13" x14ac:dyDescent="0.25">
      <c r="A131" s="781" t="s">
        <v>208</v>
      </c>
      <c r="B131" s="124" t="s">
        <v>409</v>
      </c>
      <c r="C131" s="124">
        <v>200</v>
      </c>
      <c r="D131" s="63"/>
      <c r="E131" s="63"/>
      <c r="F131" s="183">
        <v>0.16</v>
      </c>
      <c r="G131" s="183">
        <v>0.16</v>
      </c>
      <c r="H131" s="183">
        <v>27.9</v>
      </c>
      <c r="I131" s="183">
        <v>109.8</v>
      </c>
      <c r="J131" s="249">
        <v>5</v>
      </c>
      <c r="K131" s="162" t="s">
        <v>421</v>
      </c>
      <c r="L131" s="65"/>
      <c r="M131" s="71"/>
    </row>
    <row r="132" spans="1:13" x14ac:dyDescent="0.25">
      <c r="A132" s="782"/>
      <c r="B132" s="107" t="s">
        <v>418</v>
      </c>
      <c r="C132" s="124"/>
      <c r="D132" s="63">
        <v>45.4</v>
      </c>
      <c r="E132" s="63">
        <v>40</v>
      </c>
      <c r="F132" s="183">
        <v>0.4</v>
      </c>
      <c r="G132" s="183">
        <v>0</v>
      </c>
      <c r="H132" s="183">
        <v>11.3</v>
      </c>
      <c r="I132" s="183">
        <v>46</v>
      </c>
      <c r="J132" s="183"/>
      <c r="K132" s="162"/>
      <c r="L132" s="65"/>
      <c r="M132" s="71"/>
    </row>
    <row r="133" spans="1:13" x14ac:dyDescent="0.25">
      <c r="A133" s="782"/>
      <c r="B133" s="107" t="s">
        <v>19</v>
      </c>
      <c r="C133" s="124"/>
      <c r="D133" s="63">
        <v>172</v>
      </c>
      <c r="E133" s="63">
        <v>172</v>
      </c>
      <c r="F133" s="183">
        <v>0</v>
      </c>
      <c r="G133" s="183">
        <v>0</v>
      </c>
      <c r="H133" s="183">
        <v>0</v>
      </c>
      <c r="I133" s="183">
        <v>0</v>
      </c>
      <c r="J133" s="183">
        <v>0</v>
      </c>
      <c r="K133" s="162"/>
      <c r="L133" s="65"/>
      <c r="M133" s="71"/>
    </row>
    <row r="134" spans="1:13" x14ac:dyDescent="0.25">
      <c r="A134" s="782"/>
      <c r="B134" s="107" t="s">
        <v>419</v>
      </c>
      <c r="C134" s="124"/>
      <c r="D134" s="63">
        <v>24</v>
      </c>
      <c r="E134" s="63">
        <v>24</v>
      </c>
      <c r="F134" s="183">
        <v>0</v>
      </c>
      <c r="G134" s="183">
        <v>0</v>
      </c>
      <c r="H134" s="183">
        <v>99.8</v>
      </c>
      <c r="I134" s="183">
        <v>399</v>
      </c>
      <c r="J134" s="183"/>
      <c r="K134" s="162"/>
      <c r="L134" s="65"/>
      <c r="M134" s="71"/>
    </row>
    <row r="135" spans="1:13" x14ac:dyDescent="0.25">
      <c r="A135" s="782"/>
      <c r="B135" s="64" t="s">
        <v>420</v>
      </c>
      <c r="C135" s="64"/>
      <c r="D135" s="636">
        <v>0.2</v>
      </c>
      <c r="E135" s="636">
        <v>0.2</v>
      </c>
      <c r="F135" s="423">
        <v>0</v>
      </c>
      <c r="G135" s="423">
        <v>0</v>
      </c>
      <c r="H135" s="423">
        <v>0</v>
      </c>
      <c r="I135" s="423">
        <v>0</v>
      </c>
      <c r="J135" s="366"/>
      <c r="K135" s="64"/>
      <c r="L135" s="65">
        <v>55.58</v>
      </c>
      <c r="M135" s="72">
        <f>SUM(D180*L135)/1000</f>
        <v>5.8358999999999996</v>
      </c>
    </row>
    <row r="136" spans="1:13" x14ac:dyDescent="0.25">
      <c r="A136" s="736"/>
      <c r="B136" s="64"/>
      <c r="C136" s="64"/>
      <c r="D136" s="64"/>
      <c r="E136" s="64"/>
      <c r="F136" s="69">
        <f>SUM(F131:F135)</f>
        <v>0.56000000000000005</v>
      </c>
      <c r="G136" s="69">
        <f>SUM(G131:G135)</f>
        <v>0.16</v>
      </c>
      <c r="H136" s="69">
        <f>SUM(H131:H135)</f>
        <v>139</v>
      </c>
      <c r="I136" s="69">
        <f>SUM(I131:I135)</f>
        <v>554.79999999999995</v>
      </c>
      <c r="J136" s="69"/>
      <c r="K136" s="64"/>
      <c r="L136" s="65"/>
      <c r="M136" s="72"/>
    </row>
    <row r="137" spans="1:13" x14ac:dyDescent="0.25">
      <c r="A137" s="5" t="s">
        <v>58</v>
      </c>
      <c r="B137" s="13"/>
      <c r="C137" s="4"/>
      <c r="D137" s="105"/>
      <c r="E137" s="106"/>
      <c r="F137" s="63"/>
      <c r="G137" s="63"/>
      <c r="H137" s="63"/>
      <c r="I137" s="63"/>
      <c r="J137" s="96"/>
      <c r="K137" s="108"/>
      <c r="L137" s="65"/>
      <c r="M137" s="64"/>
    </row>
    <row r="138" spans="1:13" ht="30" x14ac:dyDescent="0.25">
      <c r="A138" s="645"/>
      <c r="B138" s="648" t="s">
        <v>156</v>
      </c>
      <c r="C138" s="140">
        <v>200</v>
      </c>
      <c r="D138" s="154"/>
      <c r="E138" s="154"/>
      <c r="F138" s="63"/>
      <c r="G138" s="63"/>
      <c r="H138" s="63"/>
      <c r="I138" s="63"/>
      <c r="J138" s="96"/>
      <c r="K138" s="125" t="s">
        <v>157</v>
      </c>
      <c r="L138" s="65"/>
      <c r="M138" s="64"/>
    </row>
    <row r="139" spans="1:13" x14ac:dyDescent="0.25">
      <c r="A139" s="645"/>
      <c r="B139" s="96" t="s">
        <v>158</v>
      </c>
      <c r="C139" s="96"/>
      <c r="D139" s="63">
        <v>34</v>
      </c>
      <c r="E139" s="63">
        <v>27.3</v>
      </c>
      <c r="F139" s="102">
        <v>0.48</v>
      </c>
      <c r="G139" s="63">
        <v>3.2000000000000001E-2</v>
      </c>
      <c r="H139" s="63">
        <v>2.8159999999999998</v>
      </c>
      <c r="I139" s="63">
        <v>13.44</v>
      </c>
      <c r="J139" s="96">
        <v>3.2</v>
      </c>
      <c r="K139" s="126"/>
      <c r="L139" s="65"/>
      <c r="M139" s="64"/>
    </row>
    <row r="140" spans="1:13" x14ac:dyDescent="0.25">
      <c r="A140" s="645"/>
      <c r="B140" s="96" t="s">
        <v>159</v>
      </c>
      <c r="C140" s="96"/>
      <c r="D140" s="63">
        <v>17.3</v>
      </c>
      <c r="E140" s="63">
        <v>14</v>
      </c>
      <c r="F140" s="59">
        <v>0.28799999999999998</v>
      </c>
      <c r="G140" s="51">
        <v>1.6E-2</v>
      </c>
      <c r="H140" s="51">
        <v>0.752</v>
      </c>
      <c r="I140" s="51">
        <v>4.4800000000000004</v>
      </c>
      <c r="J140" s="53">
        <v>7.2</v>
      </c>
      <c r="K140" s="126"/>
      <c r="L140" s="114">
        <v>25.38</v>
      </c>
      <c r="M140" s="68">
        <f t="shared" ref="M140:M150" si="6">SUM(L140*D140)/1000</f>
        <v>0.43907400000000002</v>
      </c>
    </row>
    <row r="141" spans="1:13" x14ac:dyDescent="0.25">
      <c r="A141" s="645"/>
      <c r="B141" s="96" t="s">
        <v>36</v>
      </c>
      <c r="C141" s="96"/>
      <c r="D141" s="63">
        <v>31.3</v>
      </c>
      <c r="E141" s="63">
        <v>23.3</v>
      </c>
      <c r="F141" s="102">
        <v>0.31</v>
      </c>
      <c r="G141" s="63">
        <v>6.4000000000000001E-2</v>
      </c>
      <c r="H141" s="63">
        <v>2.6080000000000001</v>
      </c>
      <c r="I141" s="63">
        <v>12.32</v>
      </c>
      <c r="J141" s="96">
        <v>3.2</v>
      </c>
      <c r="K141" s="126"/>
      <c r="L141" s="114">
        <v>21.89</v>
      </c>
      <c r="M141" s="68">
        <f t="shared" si="6"/>
        <v>0.68515700000000002</v>
      </c>
    </row>
    <row r="142" spans="1:13" x14ac:dyDescent="0.25">
      <c r="A142" s="781"/>
      <c r="B142" s="96" t="s">
        <v>59</v>
      </c>
      <c r="C142" s="96"/>
      <c r="D142" s="63">
        <v>13.3</v>
      </c>
      <c r="E142" s="63">
        <v>10</v>
      </c>
      <c r="F142" s="63">
        <v>0.104</v>
      </c>
      <c r="G142" s="63">
        <v>8.0000000000000002E-3</v>
      </c>
      <c r="H142" s="63">
        <v>0.55200000000000005</v>
      </c>
      <c r="I142" s="63">
        <v>2.8</v>
      </c>
      <c r="J142" s="96">
        <v>0.4</v>
      </c>
      <c r="K142" s="126"/>
      <c r="L142" s="114">
        <v>21.98</v>
      </c>
      <c r="M142" s="68">
        <f t="shared" si="6"/>
        <v>0.29233399999999998</v>
      </c>
    </row>
    <row r="143" spans="1:13" x14ac:dyDescent="0.25">
      <c r="A143" s="782"/>
      <c r="B143" s="96" t="s">
        <v>32</v>
      </c>
      <c r="C143" s="96"/>
      <c r="D143" s="63">
        <v>10</v>
      </c>
      <c r="E143" s="63">
        <v>8</v>
      </c>
      <c r="F143" s="63">
        <v>0.112</v>
      </c>
      <c r="G143" s="63">
        <v>1.6E-2</v>
      </c>
      <c r="H143" s="63">
        <v>0.65600000000000003</v>
      </c>
      <c r="I143" s="63">
        <v>0.28000000000000003</v>
      </c>
      <c r="J143" s="96">
        <v>0.8</v>
      </c>
      <c r="K143" s="126"/>
      <c r="L143" s="114">
        <v>38.5</v>
      </c>
      <c r="M143" s="68">
        <f t="shared" si="6"/>
        <v>0.38500000000000001</v>
      </c>
    </row>
    <row r="144" spans="1:13" x14ac:dyDescent="0.25">
      <c r="A144" s="782"/>
      <c r="B144" s="96" t="s">
        <v>60</v>
      </c>
      <c r="C144" s="96"/>
      <c r="D144" s="63">
        <v>2.7</v>
      </c>
      <c r="E144" s="63">
        <v>2.7</v>
      </c>
      <c r="F144" s="102">
        <v>0.28799999999999998</v>
      </c>
      <c r="G144" s="63">
        <v>0</v>
      </c>
      <c r="H144" s="63">
        <v>1.1399999999999999</v>
      </c>
      <c r="I144" s="63">
        <v>6.12</v>
      </c>
      <c r="J144" s="96">
        <v>2.7</v>
      </c>
      <c r="K144" s="126"/>
      <c r="L144" s="114">
        <v>120</v>
      </c>
      <c r="M144" s="68">
        <f t="shared" si="6"/>
        <v>0.32400000000000001</v>
      </c>
    </row>
    <row r="145" spans="1:13" x14ac:dyDescent="0.25">
      <c r="A145" s="782"/>
      <c r="B145" s="96" t="s">
        <v>37</v>
      </c>
      <c r="C145" s="96"/>
      <c r="D145" s="63">
        <v>4</v>
      </c>
      <c r="E145" s="63">
        <v>4</v>
      </c>
      <c r="F145" s="102">
        <v>0</v>
      </c>
      <c r="G145" s="63">
        <v>3.996</v>
      </c>
      <c r="H145" s="63">
        <v>0</v>
      </c>
      <c r="I145" s="63">
        <v>35.96</v>
      </c>
      <c r="J145" s="96">
        <v>0</v>
      </c>
      <c r="K145" s="126"/>
      <c r="L145" s="114">
        <v>92.2</v>
      </c>
      <c r="M145" s="68">
        <f t="shared" si="6"/>
        <v>0.36880000000000002</v>
      </c>
    </row>
    <row r="146" spans="1:13" x14ac:dyDescent="0.25">
      <c r="A146" s="782"/>
      <c r="B146" s="96" t="s">
        <v>49</v>
      </c>
      <c r="C146" s="96"/>
      <c r="D146" s="63">
        <v>2</v>
      </c>
      <c r="E146" s="63">
        <v>2</v>
      </c>
      <c r="F146" s="102">
        <v>0</v>
      </c>
      <c r="G146" s="63">
        <v>0</v>
      </c>
      <c r="H146" s="63">
        <v>1.996</v>
      </c>
      <c r="I146" s="63">
        <v>7.58</v>
      </c>
      <c r="J146" s="96">
        <v>0</v>
      </c>
      <c r="K146" s="126"/>
      <c r="L146" s="114">
        <v>50.7</v>
      </c>
      <c r="M146" s="68">
        <f t="shared" si="6"/>
        <v>0.1014</v>
      </c>
    </row>
    <row r="147" spans="1:13" x14ac:dyDescent="0.25">
      <c r="A147" s="782"/>
      <c r="B147" s="96" t="s">
        <v>19</v>
      </c>
      <c r="C147" s="96"/>
      <c r="D147" s="63">
        <v>160</v>
      </c>
      <c r="E147" s="63">
        <v>160</v>
      </c>
      <c r="F147" s="102">
        <v>0</v>
      </c>
      <c r="G147" s="63">
        <v>0</v>
      </c>
      <c r="H147" s="63">
        <v>0</v>
      </c>
      <c r="I147" s="63">
        <v>0</v>
      </c>
      <c r="J147" s="96">
        <v>0</v>
      </c>
      <c r="K147" s="126"/>
      <c r="L147" s="114">
        <v>16.62</v>
      </c>
      <c r="M147" s="68">
        <f t="shared" si="6"/>
        <v>2.6592000000000002</v>
      </c>
    </row>
    <row r="148" spans="1:13" x14ac:dyDescent="0.25">
      <c r="A148" s="782"/>
      <c r="B148" s="96" t="s">
        <v>61</v>
      </c>
      <c r="C148" s="96"/>
      <c r="D148" s="63">
        <v>7.0000000000000001E-3</v>
      </c>
      <c r="E148" s="63">
        <v>7.0000000000000001E-3</v>
      </c>
      <c r="F148" s="102">
        <v>0</v>
      </c>
      <c r="G148" s="63">
        <v>0</v>
      </c>
      <c r="H148" s="63">
        <v>0</v>
      </c>
      <c r="I148" s="63">
        <v>0</v>
      </c>
      <c r="J148" s="96">
        <v>0</v>
      </c>
      <c r="K148" s="126"/>
      <c r="L148" s="114">
        <v>550</v>
      </c>
      <c r="M148" s="68">
        <f t="shared" si="6"/>
        <v>3.8500000000000001E-3</v>
      </c>
    </row>
    <row r="149" spans="1:13" x14ac:dyDescent="0.25">
      <c r="A149" s="782"/>
      <c r="B149" s="96" t="s">
        <v>112</v>
      </c>
      <c r="C149" s="96"/>
      <c r="D149" s="63">
        <v>1.2</v>
      </c>
      <c r="E149" s="63">
        <v>1.2</v>
      </c>
      <c r="F149" s="102">
        <v>0</v>
      </c>
      <c r="G149" s="63">
        <v>0</v>
      </c>
      <c r="H149" s="63">
        <v>0</v>
      </c>
      <c r="I149" s="63">
        <v>0</v>
      </c>
      <c r="J149" s="96">
        <v>0</v>
      </c>
      <c r="K149" s="126"/>
      <c r="L149" s="114">
        <v>153</v>
      </c>
      <c r="M149" s="68">
        <f t="shared" si="6"/>
        <v>0.18359999999999999</v>
      </c>
    </row>
    <row r="150" spans="1:13" x14ac:dyDescent="0.25">
      <c r="A150" s="782"/>
      <c r="B150" s="96" t="s">
        <v>62</v>
      </c>
      <c r="C150" s="96"/>
      <c r="D150" s="63">
        <v>4</v>
      </c>
      <c r="E150" s="63">
        <v>4</v>
      </c>
      <c r="F150" s="63">
        <v>0.1</v>
      </c>
      <c r="G150" s="63">
        <v>0.6</v>
      </c>
      <c r="H150" s="63">
        <v>0.13600000000000001</v>
      </c>
      <c r="I150" s="63">
        <v>8.24</v>
      </c>
      <c r="J150" s="96">
        <v>1.2E-2</v>
      </c>
      <c r="K150" s="126"/>
      <c r="L150" s="114">
        <v>0</v>
      </c>
      <c r="M150" s="68">
        <f t="shared" si="6"/>
        <v>0</v>
      </c>
    </row>
    <row r="151" spans="1:13" x14ac:dyDescent="0.25">
      <c r="A151" s="782"/>
      <c r="B151" s="248"/>
      <c r="C151" s="248"/>
      <c r="D151" s="63"/>
      <c r="E151" s="63"/>
      <c r="F151" s="192">
        <f>SUM(F139:F150)</f>
        <v>1.6820000000000004</v>
      </c>
      <c r="G151" s="192">
        <f>SUM(G139:G150)</f>
        <v>4.7319999999999993</v>
      </c>
      <c r="H151" s="192">
        <f>SUM(H139:H150)</f>
        <v>10.655999999999999</v>
      </c>
      <c r="I151" s="192">
        <f>SUM(I139:I150)</f>
        <v>91.22</v>
      </c>
      <c r="J151" s="193">
        <f>+J166+J176+J177</f>
        <v>0.72</v>
      </c>
      <c r="K151" s="156"/>
      <c r="L151" s="114"/>
      <c r="M151" s="68"/>
    </row>
    <row r="152" spans="1:13" x14ac:dyDescent="0.25">
      <c r="A152" s="782"/>
      <c r="B152" s="647" t="s">
        <v>63</v>
      </c>
      <c r="C152" s="124">
        <v>70</v>
      </c>
      <c r="D152" s="13"/>
      <c r="E152" s="13"/>
      <c r="F152" s="13"/>
      <c r="G152" s="13"/>
      <c r="H152" s="13"/>
      <c r="I152" s="13"/>
      <c r="J152" s="96"/>
      <c r="K152" s="108" t="s">
        <v>64</v>
      </c>
      <c r="L152" s="114"/>
      <c r="M152" s="68"/>
    </row>
    <row r="153" spans="1:13" x14ac:dyDescent="0.25">
      <c r="A153" s="782"/>
      <c r="B153" s="107" t="s">
        <v>65</v>
      </c>
      <c r="C153" s="107"/>
      <c r="D153" s="63">
        <v>52</v>
      </c>
      <c r="E153" s="63">
        <v>38</v>
      </c>
      <c r="F153" s="63">
        <v>6.99</v>
      </c>
      <c r="G153" s="63">
        <v>6.0190000000000001</v>
      </c>
      <c r="H153" s="63">
        <v>0</v>
      </c>
      <c r="I153" s="63">
        <v>82.16</v>
      </c>
      <c r="J153" s="96">
        <v>0</v>
      </c>
      <c r="K153" s="136"/>
      <c r="L153" s="114"/>
      <c r="M153" s="68"/>
    </row>
    <row r="154" spans="1:13" x14ac:dyDescent="0.25">
      <c r="A154" s="782"/>
      <c r="B154" s="107" t="s">
        <v>40</v>
      </c>
      <c r="C154" s="107"/>
      <c r="D154" s="63">
        <v>8</v>
      </c>
      <c r="E154" s="63">
        <v>8</v>
      </c>
      <c r="F154" s="63">
        <v>0.81</v>
      </c>
      <c r="G154" s="63">
        <v>8.5999999999999993E-2</v>
      </c>
      <c r="H154" s="63">
        <v>5.43</v>
      </c>
      <c r="I154" s="63">
        <v>26.28</v>
      </c>
      <c r="J154" s="96">
        <v>0</v>
      </c>
      <c r="K154" s="152"/>
      <c r="L154" s="114"/>
      <c r="M154" s="68"/>
    </row>
    <row r="155" spans="1:13" x14ac:dyDescent="0.25">
      <c r="A155" s="782"/>
      <c r="B155" s="107" t="s">
        <v>66</v>
      </c>
      <c r="C155" s="107"/>
      <c r="D155" s="63">
        <v>11</v>
      </c>
      <c r="E155" s="63">
        <v>11</v>
      </c>
      <c r="F155" s="63">
        <v>0.29399999999999998</v>
      </c>
      <c r="G155" s="63">
        <v>0.33600000000000002</v>
      </c>
      <c r="H155" s="63">
        <v>0.49299999999999999</v>
      </c>
      <c r="I155" s="63">
        <v>6.09</v>
      </c>
      <c r="J155" s="96">
        <v>0.13600000000000001</v>
      </c>
      <c r="K155" s="152"/>
      <c r="L155" s="114"/>
      <c r="M155" s="68"/>
    </row>
    <row r="156" spans="1:13" x14ac:dyDescent="0.25">
      <c r="A156" s="782"/>
      <c r="B156" s="116" t="s">
        <v>67</v>
      </c>
      <c r="C156" s="107"/>
      <c r="D156" s="63"/>
      <c r="E156" s="63"/>
      <c r="F156" s="63"/>
      <c r="G156" s="63"/>
      <c r="H156" s="63"/>
      <c r="I156" s="63"/>
      <c r="J156" s="96"/>
      <c r="K156" s="152"/>
      <c r="L156" s="114"/>
      <c r="M156" s="68"/>
    </row>
    <row r="157" spans="1:13" x14ac:dyDescent="0.25">
      <c r="A157" s="782"/>
      <c r="B157" s="107" t="s">
        <v>32</v>
      </c>
      <c r="C157" s="107"/>
      <c r="D157" s="63">
        <v>31</v>
      </c>
      <c r="E157" s="63">
        <v>28</v>
      </c>
      <c r="F157" s="63">
        <v>0.35499999999999998</v>
      </c>
      <c r="G157" s="63">
        <v>0.05</v>
      </c>
      <c r="H157" s="63">
        <v>2.08</v>
      </c>
      <c r="I157" s="63">
        <v>10.4</v>
      </c>
      <c r="J157" s="96">
        <v>2.5369999999999999</v>
      </c>
      <c r="K157" s="152"/>
      <c r="L157" s="114"/>
      <c r="M157" s="68"/>
    </row>
    <row r="158" spans="1:13" x14ac:dyDescent="0.25">
      <c r="A158" s="782"/>
      <c r="B158" s="107" t="s">
        <v>37</v>
      </c>
      <c r="C158" s="107"/>
      <c r="D158" s="63">
        <v>4</v>
      </c>
      <c r="E158" s="63">
        <v>4</v>
      </c>
      <c r="F158" s="63">
        <v>0</v>
      </c>
      <c r="G158" s="63">
        <v>3.9260000000000002</v>
      </c>
      <c r="H158" s="63">
        <v>0</v>
      </c>
      <c r="I158" s="63">
        <v>35.33</v>
      </c>
      <c r="J158" s="96">
        <v>0</v>
      </c>
      <c r="K158" s="152"/>
      <c r="L158" s="114"/>
      <c r="M158" s="68"/>
    </row>
    <row r="159" spans="1:13" x14ac:dyDescent="0.25">
      <c r="A159" s="782"/>
      <c r="B159" s="107" t="s">
        <v>34</v>
      </c>
      <c r="C159" s="107"/>
      <c r="D159" s="195">
        <v>5</v>
      </c>
      <c r="E159" s="63" t="s">
        <v>190</v>
      </c>
      <c r="F159" s="63">
        <v>0.63</v>
      </c>
      <c r="G159" s="63">
        <v>0.56999999999999995</v>
      </c>
      <c r="H159" s="63">
        <v>0.04</v>
      </c>
      <c r="I159" s="63">
        <v>7.85</v>
      </c>
      <c r="J159" s="96">
        <v>0</v>
      </c>
      <c r="K159" s="152"/>
      <c r="L159" s="114"/>
      <c r="M159" s="68"/>
    </row>
    <row r="160" spans="1:13" x14ac:dyDescent="0.25">
      <c r="A160" s="782"/>
      <c r="B160" s="107" t="s">
        <v>68</v>
      </c>
      <c r="C160" s="107"/>
      <c r="D160" s="63">
        <v>6</v>
      </c>
      <c r="E160" s="63">
        <v>6</v>
      </c>
      <c r="F160" s="63">
        <v>0.72</v>
      </c>
      <c r="G160" s="63">
        <v>0.12</v>
      </c>
      <c r="H160" s="63">
        <v>3.66</v>
      </c>
      <c r="I160" s="63">
        <v>18.600000000000001</v>
      </c>
      <c r="J160" s="96">
        <v>0</v>
      </c>
      <c r="K160" s="152"/>
      <c r="L160" s="114"/>
      <c r="M160" s="68"/>
    </row>
    <row r="161" spans="1:13" x14ac:dyDescent="0.25">
      <c r="A161" s="782"/>
      <c r="B161" s="107" t="s">
        <v>37</v>
      </c>
      <c r="C161" s="107"/>
      <c r="D161" s="63">
        <v>4</v>
      </c>
      <c r="E161" s="63">
        <v>4</v>
      </c>
      <c r="F161" s="63">
        <v>0</v>
      </c>
      <c r="G161" s="63">
        <v>3.9260000000000002</v>
      </c>
      <c r="H161" s="63">
        <v>0</v>
      </c>
      <c r="I161" s="63">
        <v>35.33</v>
      </c>
      <c r="J161" s="96">
        <v>0</v>
      </c>
      <c r="K161" s="152"/>
      <c r="L161" s="114"/>
      <c r="M161" s="68"/>
    </row>
    <row r="162" spans="1:13" ht="15" hidden="1" customHeight="1" x14ac:dyDescent="0.25">
      <c r="A162" s="782"/>
      <c r="B162" s="107"/>
      <c r="C162" s="107"/>
      <c r="D162" s="63"/>
      <c r="E162" s="63"/>
      <c r="F162" s="118">
        <f>SUM(F153:F161)</f>
        <v>9.799000000000003</v>
      </c>
      <c r="G162" s="118">
        <f>SUM(G153:G161)</f>
        <v>15.033000000000001</v>
      </c>
      <c r="H162" s="118">
        <f>SUM(H153:H161)</f>
        <v>11.702999999999999</v>
      </c>
      <c r="I162" s="118">
        <f>SUM(I153:I161)</f>
        <v>222.03999999999996</v>
      </c>
      <c r="J162" s="119">
        <f>SUM(J153:J161)</f>
        <v>2.673</v>
      </c>
      <c r="K162" s="156"/>
      <c r="L162" s="65"/>
      <c r="M162" s="72">
        <f>SUM(M143:M161)</f>
        <v>4.0258500000000002</v>
      </c>
    </row>
    <row r="163" spans="1:13" x14ac:dyDescent="0.25">
      <c r="A163" s="782"/>
      <c r="B163" s="647" t="s">
        <v>69</v>
      </c>
      <c r="C163" s="140">
        <v>120</v>
      </c>
      <c r="D163" s="154"/>
      <c r="E163" s="154"/>
      <c r="F163" s="63"/>
      <c r="G163" s="63"/>
      <c r="H163" s="63"/>
      <c r="I163" s="63"/>
      <c r="J163" s="96"/>
      <c r="K163" s="155" t="s">
        <v>70</v>
      </c>
      <c r="L163" s="65"/>
      <c r="M163" s="64"/>
    </row>
    <row r="164" spans="1:13" x14ac:dyDescent="0.25">
      <c r="A164" s="782"/>
      <c r="B164" s="96" t="s">
        <v>71</v>
      </c>
      <c r="C164" s="96"/>
      <c r="D164" s="63">
        <v>58.3</v>
      </c>
      <c r="E164" s="63">
        <v>57</v>
      </c>
      <c r="F164" s="102">
        <v>16.422000000000001</v>
      </c>
      <c r="G164" s="63">
        <v>1.1424000000000001</v>
      </c>
      <c r="H164" s="63">
        <v>36.2712</v>
      </c>
      <c r="I164" s="63">
        <v>224.196</v>
      </c>
      <c r="J164" s="96">
        <v>0</v>
      </c>
      <c r="K164" s="152"/>
      <c r="L164" s="114">
        <v>136.62</v>
      </c>
      <c r="M164" s="68" t="e">
        <f>SUM(L164*#REF!)/1000</f>
        <v>#REF!</v>
      </c>
    </row>
    <row r="165" spans="1:13" x14ac:dyDescent="0.25">
      <c r="A165" s="782"/>
      <c r="B165" s="107" t="s">
        <v>21</v>
      </c>
      <c r="C165" s="117"/>
      <c r="D165" s="100">
        <v>5.7</v>
      </c>
      <c r="E165" s="100">
        <v>5.7</v>
      </c>
      <c r="F165" s="63">
        <v>5.6800000000000003E-2</v>
      </c>
      <c r="G165" s="63">
        <v>5.1475</v>
      </c>
      <c r="H165" s="63">
        <v>9.2299999999999993E-2</v>
      </c>
      <c r="I165" s="63">
        <v>46.930999999999997</v>
      </c>
      <c r="J165" s="96">
        <v>0</v>
      </c>
      <c r="K165" s="152"/>
      <c r="L165" s="114">
        <v>376.98</v>
      </c>
      <c r="M165" s="68" t="e">
        <f>SUM(L165*#REF!)/1000</f>
        <v>#REF!</v>
      </c>
    </row>
    <row r="166" spans="1:13" x14ac:dyDescent="0.25">
      <c r="A166" s="782"/>
      <c r="B166" s="116"/>
      <c r="C166" s="107"/>
      <c r="D166" s="63"/>
      <c r="E166" s="63"/>
      <c r="F166" s="127">
        <f>SUM(F164:F165)</f>
        <v>16.4788</v>
      </c>
      <c r="G166" s="127">
        <f>SUM(G164:G165)</f>
        <v>6.2899000000000003</v>
      </c>
      <c r="H166" s="127">
        <f>SUM(H164:H165)</f>
        <v>36.363500000000002</v>
      </c>
      <c r="I166" s="127">
        <f>SUM(I164:I165)</f>
        <v>271.12700000000001</v>
      </c>
      <c r="J166" s="119">
        <f>SUM(J164:J165)</f>
        <v>0</v>
      </c>
      <c r="K166" s="156"/>
      <c r="L166" s="114">
        <v>21.98</v>
      </c>
      <c r="M166" s="68" t="e">
        <f>SUM(L166*#REF!)/1000</f>
        <v>#REF!</v>
      </c>
    </row>
    <row r="167" spans="1:13" ht="15" hidden="1" customHeight="1" x14ac:dyDescent="0.25">
      <c r="A167" s="782"/>
      <c r="B167" s="647"/>
      <c r="C167" s="140"/>
      <c r="D167" s="154"/>
      <c r="E167" s="154"/>
      <c r="F167" s="63"/>
      <c r="G167" s="63"/>
      <c r="H167" s="63"/>
      <c r="I167" s="63"/>
      <c r="J167" s="96"/>
      <c r="K167" s="155"/>
      <c r="L167" s="65"/>
      <c r="M167" s="64"/>
    </row>
    <row r="168" spans="1:13" ht="15" hidden="1" customHeight="1" x14ac:dyDescent="0.25">
      <c r="A168" s="782"/>
      <c r="B168" s="96"/>
      <c r="C168" s="96"/>
      <c r="D168" s="63"/>
      <c r="E168" s="63"/>
      <c r="F168" s="102"/>
      <c r="G168" s="63"/>
      <c r="H168" s="63"/>
      <c r="I168" s="63"/>
      <c r="J168" s="96"/>
      <c r="K168" s="152"/>
      <c r="L168" s="114"/>
      <c r="M168" s="68"/>
    </row>
    <row r="169" spans="1:13" ht="15" hidden="1" customHeight="1" x14ac:dyDescent="0.25">
      <c r="A169" s="782"/>
      <c r="B169" s="107"/>
      <c r="C169" s="117"/>
      <c r="D169" s="100"/>
      <c r="E169" s="100"/>
      <c r="F169" s="63"/>
      <c r="G169" s="63"/>
      <c r="H169" s="63"/>
      <c r="I169" s="63"/>
      <c r="J169" s="96"/>
      <c r="K169" s="152"/>
      <c r="L169" s="114"/>
      <c r="M169" s="68"/>
    </row>
    <row r="170" spans="1:13" ht="15" hidden="1" customHeight="1" x14ac:dyDescent="0.25">
      <c r="A170" s="782"/>
      <c r="B170" s="107"/>
      <c r="C170" s="107"/>
      <c r="D170" s="63"/>
      <c r="E170" s="63"/>
      <c r="F170" s="63"/>
      <c r="G170" s="63"/>
      <c r="H170" s="63"/>
      <c r="I170" s="63"/>
      <c r="J170" s="96"/>
      <c r="K170" s="152"/>
      <c r="L170" s="114"/>
      <c r="M170" s="68"/>
    </row>
    <row r="171" spans="1:13" ht="15" hidden="1" customHeight="1" x14ac:dyDescent="0.25">
      <c r="A171" s="782"/>
      <c r="B171" s="116"/>
      <c r="C171" s="107"/>
      <c r="D171" s="63"/>
      <c r="E171" s="63"/>
      <c r="F171" s="118"/>
      <c r="G171" s="118"/>
      <c r="H171" s="118"/>
      <c r="I171" s="118"/>
      <c r="J171" s="119"/>
      <c r="K171" s="156"/>
      <c r="L171" s="65"/>
      <c r="M171" s="72"/>
    </row>
    <row r="172" spans="1:13" x14ac:dyDescent="0.25">
      <c r="A172" s="782"/>
      <c r="B172" s="138" t="s">
        <v>180</v>
      </c>
      <c r="C172" s="124">
        <v>180</v>
      </c>
      <c r="D172" s="13"/>
      <c r="E172" s="13"/>
      <c r="F172" s="63"/>
      <c r="G172" s="63"/>
      <c r="H172" s="63"/>
      <c r="I172" s="63"/>
      <c r="J172" s="96"/>
      <c r="K172" s="108" t="s">
        <v>181</v>
      </c>
      <c r="L172" s="65"/>
      <c r="M172" s="64"/>
    </row>
    <row r="173" spans="1:13" ht="16.5" customHeight="1" x14ac:dyDescent="0.25">
      <c r="A173" s="782"/>
      <c r="B173" s="107" t="s">
        <v>182</v>
      </c>
      <c r="C173" s="107"/>
      <c r="D173" s="63">
        <v>18</v>
      </c>
      <c r="E173" s="63" t="s">
        <v>183</v>
      </c>
      <c r="F173" s="63">
        <v>0.93600000000000005</v>
      </c>
      <c r="G173" s="63">
        <v>5.3999999999999999E-2</v>
      </c>
      <c r="H173" s="63">
        <v>9.18</v>
      </c>
      <c r="I173" s="63">
        <v>41.76</v>
      </c>
      <c r="J173" s="96">
        <v>0.72</v>
      </c>
      <c r="K173" s="136"/>
      <c r="L173" s="114">
        <v>90</v>
      </c>
      <c r="M173" s="76">
        <f>SUM(L173*D173)/1000</f>
        <v>1.62</v>
      </c>
    </row>
    <row r="174" spans="1:13" x14ac:dyDescent="0.25">
      <c r="A174" s="782"/>
      <c r="B174" s="107" t="s">
        <v>38</v>
      </c>
      <c r="C174" s="107"/>
      <c r="D174" s="63">
        <v>14.4</v>
      </c>
      <c r="E174" s="63">
        <v>14.4</v>
      </c>
      <c r="F174" s="63">
        <v>0</v>
      </c>
      <c r="G174" s="63">
        <v>0</v>
      </c>
      <c r="H174" s="63">
        <v>14.371</v>
      </c>
      <c r="I174" s="63">
        <v>54.576000000000001</v>
      </c>
      <c r="J174" s="96">
        <v>0</v>
      </c>
      <c r="K174" s="136"/>
      <c r="L174" s="114">
        <v>50</v>
      </c>
      <c r="M174" s="68">
        <f>SUM(L174*D174)/1000</f>
        <v>0.72</v>
      </c>
    </row>
    <row r="175" spans="1:13" x14ac:dyDescent="0.25">
      <c r="A175" s="782"/>
      <c r="B175" s="107" t="s">
        <v>19</v>
      </c>
      <c r="C175" s="107"/>
      <c r="D175" s="63">
        <v>182.7</v>
      </c>
      <c r="E175" s="63">
        <v>182.7</v>
      </c>
      <c r="F175" s="63">
        <v>0</v>
      </c>
      <c r="G175" s="63">
        <v>0</v>
      </c>
      <c r="H175" s="63">
        <v>0</v>
      </c>
      <c r="I175" s="63">
        <v>0</v>
      </c>
      <c r="J175" s="96">
        <v>0</v>
      </c>
      <c r="K175" s="136"/>
      <c r="L175" s="114">
        <v>0</v>
      </c>
      <c r="M175" s="64">
        <f>SUM(L175*D175)/1000</f>
        <v>0</v>
      </c>
    </row>
    <row r="176" spans="1:13" x14ac:dyDescent="0.25">
      <c r="A176" s="782"/>
      <c r="B176" s="157"/>
      <c r="C176" s="157"/>
      <c r="D176" s="51"/>
      <c r="E176" s="51"/>
      <c r="F176" s="118">
        <f>SUM(F173:F175)</f>
        <v>0.93600000000000005</v>
      </c>
      <c r="G176" s="118">
        <f t="shared" ref="G176:J176" si="7">SUM(G173:G175)</f>
        <v>5.3999999999999999E-2</v>
      </c>
      <c r="H176" s="118">
        <f t="shared" si="7"/>
        <v>23.551000000000002</v>
      </c>
      <c r="I176" s="118">
        <f t="shared" si="7"/>
        <v>96.335999999999999</v>
      </c>
      <c r="J176" s="118">
        <f t="shared" si="7"/>
        <v>0.72</v>
      </c>
      <c r="K176" s="153"/>
      <c r="L176" s="47"/>
      <c r="M176" s="72">
        <f>SUM(M173:M175)</f>
        <v>2.34</v>
      </c>
    </row>
    <row r="177" spans="1:13" x14ac:dyDescent="0.25">
      <c r="A177" s="782"/>
      <c r="B177" s="647" t="s">
        <v>40</v>
      </c>
      <c r="C177" s="124">
        <v>40</v>
      </c>
      <c r="D177" s="63">
        <v>40</v>
      </c>
      <c r="E177" s="63">
        <v>40</v>
      </c>
      <c r="F177" s="118">
        <v>3.85</v>
      </c>
      <c r="G177" s="118">
        <v>1.5</v>
      </c>
      <c r="H177" s="118">
        <v>24.9</v>
      </c>
      <c r="I177" s="118">
        <v>131</v>
      </c>
      <c r="J177" s="139">
        <v>0</v>
      </c>
      <c r="K177" s="153" t="s">
        <v>73</v>
      </c>
      <c r="L177" s="114">
        <v>35</v>
      </c>
      <c r="M177" s="72">
        <f>SUM(L177*D177)/1000</f>
        <v>1.4</v>
      </c>
    </row>
    <row r="178" spans="1:13" x14ac:dyDescent="0.25">
      <c r="A178" s="783"/>
      <c r="B178" s="124" t="s">
        <v>74</v>
      </c>
      <c r="C178" s="124"/>
      <c r="D178" s="13"/>
      <c r="E178" s="13"/>
      <c r="F178" s="265">
        <f>F151+F166+F176+F177</f>
        <v>22.946800000000003</v>
      </c>
      <c r="G178" s="265">
        <f>G151+G166+G176+G177</f>
        <v>12.575899999999999</v>
      </c>
      <c r="H178" s="265">
        <f>H151+H166+H176+H177</f>
        <v>95.470500000000015</v>
      </c>
      <c r="I178" s="265">
        <f>I151+I166+I176+I177</f>
        <v>589.68299999999999</v>
      </c>
      <c r="J178" s="265">
        <f>J151+J166+J176+J177</f>
        <v>1.44</v>
      </c>
      <c r="K178" s="158"/>
      <c r="L178" s="65"/>
      <c r="M178" s="71" t="e">
        <f>SUM(M162,#REF!,M171,M176:M177)</f>
        <v>#REF!</v>
      </c>
    </row>
    <row r="179" spans="1:13" x14ac:dyDescent="0.25">
      <c r="A179" s="5" t="s">
        <v>75</v>
      </c>
      <c r="B179" s="13"/>
      <c r="C179" s="13"/>
      <c r="D179" s="105"/>
      <c r="E179" s="106"/>
      <c r="F179" s="63"/>
      <c r="G179" s="63"/>
      <c r="H179" s="63"/>
      <c r="I179" s="63"/>
      <c r="J179" s="96"/>
      <c r="K179" s="125"/>
      <c r="L179" s="65"/>
      <c r="M179" s="64"/>
    </row>
    <row r="180" spans="1:13" x14ac:dyDescent="0.25">
      <c r="A180" s="781"/>
      <c r="B180" s="350" t="s">
        <v>232</v>
      </c>
      <c r="C180" s="339">
        <v>100</v>
      </c>
      <c r="D180" s="352">
        <v>105</v>
      </c>
      <c r="E180" s="352">
        <v>105</v>
      </c>
      <c r="F180" s="417">
        <f>2.8*E180/100</f>
        <v>2.94</v>
      </c>
      <c r="G180" s="417">
        <f>3.2*E180/100</f>
        <v>3.36</v>
      </c>
      <c r="H180" s="417">
        <f>4.7*E180/100</f>
        <v>4.9349999999999996</v>
      </c>
      <c r="I180" s="418">
        <f>58*E180/100</f>
        <v>60.9</v>
      </c>
      <c r="J180" s="419">
        <f>1.3*E180/100</f>
        <v>1.365</v>
      </c>
      <c r="K180" s="162" t="s">
        <v>207</v>
      </c>
      <c r="L180" s="65"/>
      <c r="M180" s="64"/>
    </row>
    <row r="181" spans="1:13" ht="29.25" x14ac:dyDescent="0.25">
      <c r="A181" s="782"/>
      <c r="B181" s="338" t="s">
        <v>301</v>
      </c>
      <c r="C181" s="363">
        <v>130</v>
      </c>
      <c r="D181" s="340"/>
      <c r="E181" s="340"/>
      <c r="F181" s="667"/>
      <c r="G181" s="667"/>
      <c r="H181" s="667"/>
      <c r="I181" s="667"/>
      <c r="J181" s="667"/>
      <c r="K181" s="480" t="s">
        <v>302</v>
      </c>
      <c r="L181" s="47"/>
      <c r="M181" s="325"/>
    </row>
    <row r="182" spans="1:13" x14ac:dyDescent="0.25">
      <c r="A182" s="782"/>
      <c r="B182" s="342" t="s">
        <v>303</v>
      </c>
      <c r="C182" s="343"/>
      <c r="D182" s="340">
        <v>36.4</v>
      </c>
      <c r="E182" s="340">
        <v>36.4</v>
      </c>
      <c r="F182" s="340">
        <v>3.8</v>
      </c>
      <c r="G182" s="340">
        <f>1.2*E182/100</f>
        <v>0.43680000000000002</v>
      </c>
      <c r="H182" s="340">
        <f>71*E182/100</f>
        <v>25.844000000000001</v>
      </c>
      <c r="I182" s="345">
        <v>123</v>
      </c>
      <c r="J182" s="346">
        <v>0.44</v>
      </c>
      <c r="K182" s="483"/>
      <c r="L182" s="114">
        <v>46.18</v>
      </c>
      <c r="M182" s="85">
        <f>SUM(D182*L182)/1000</f>
        <v>1.680952</v>
      </c>
    </row>
    <row r="183" spans="1:13" x14ac:dyDescent="0.25">
      <c r="A183" s="782"/>
      <c r="B183" s="406" t="s">
        <v>231</v>
      </c>
      <c r="C183" s="354"/>
      <c r="D183" s="340">
        <v>1.8</v>
      </c>
      <c r="E183" s="340">
        <v>1.8</v>
      </c>
      <c r="F183" s="340">
        <v>0</v>
      </c>
      <c r="G183" s="340">
        <v>0</v>
      </c>
      <c r="H183" s="340">
        <v>0</v>
      </c>
      <c r="I183" s="345">
        <v>0</v>
      </c>
      <c r="J183" s="346">
        <v>0</v>
      </c>
      <c r="K183" s="483"/>
      <c r="L183" s="114">
        <v>16.62</v>
      </c>
      <c r="M183" s="85">
        <f>SUM(D183*L183)/1000</f>
        <v>2.9916000000000005E-2</v>
      </c>
    </row>
    <row r="184" spans="1:13" x14ac:dyDescent="0.25">
      <c r="A184" s="782"/>
      <c r="B184" s="342" t="s">
        <v>281</v>
      </c>
      <c r="C184" s="343"/>
      <c r="D184" s="340">
        <v>5</v>
      </c>
      <c r="E184" s="340">
        <v>5</v>
      </c>
      <c r="F184" s="340">
        <v>0.04</v>
      </c>
      <c r="G184" s="340">
        <v>3.6</v>
      </c>
      <c r="H184" s="340">
        <v>7.0000000000000007E-2</v>
      </c>
      <c r="I184" s="345">
        <v>240</v>
      </c>
      <c r="J184" s="346">
        <v>0</v>
      </c>
      <c r="K184" s="483"/>
      <c r="L184" s="114">
        <v>0</v>
      </c>
      <c r="M184" s="85">
        <f>SUM(D184*L184)/1000</f>
        <v>0</v>
      </c>
    </row>
    <row r="185" spans="1:13" x14ac:dyDescent="0.25">
      <c r="A185" s="782"/>
      <c r="B185" s="342" t="s">
        <v>304</v>
      </c>
      <c r="C185" s="343"/>
      <c r="D185" s="386">
        <v>22.9</v>
      </c>
      <c r="E185" s="386">
        <v>21</v>
      </c>
      <c r="F185" s="340">
        <v>4.8</v>
      </c>
      <c r="G185" s="340">
        <v>6.09</v>
      </c>
      <c r="H185" s="340">
        <v>0</v>
      </c>
      <c r="I185" s="345">
        <v>75.599999999999994</v>
      </c>
      <c r="J185" s="366">
        <v>0.6</v>
      </c>
      <c r="K185" s="483"/>
      <c r="L185" s="114">
        <v>0</v>
      </c>
      <c r="M185" s="85"/>
    </row>
    <row r="186" spans="1:13" x14ac:dyDescent="0.25">
      <c r="A186" s="782"/>
      <c r="B186" s="342" t="s">
        <v>229</v>
      </c>
      <c r="C186" s="415"/>
      <c r="D186" s="416">
        <v>218.5</v>
      </c>
      <c r="E186" s="416">
        <v>218.5</v>
      </c>
      <c r="F186" s="406">
        <v>0</v>
      </c>
      <c r="G186" s="340">
        <v>0</v>
      </c>
      <c r="H186" s="340">
        <v>0</v>
      </c>
      <c r="I186" s="345">
        <v>0</v>
      </c>
      <c r="J186" s="346">
        <v>0</v>
      </c>
      <c r="K186" s="483"/>
      <c r="L186" s="114">
        <v>376.98</v>
      </c>
      <c r="M186" s="85">
        <f>SUM(D186*L186)/1000</f>
        <v>82.370130000000003</v>
      </c>
    </row>
    <row r="187" spans="1:13" x14ac:dyDescent="0.25">
      <c r="A187" s="782"/>
      <c r="B187" s="691"/>
      <c r="C187" s="712"/>
      <c r="D187" s="713"/>
      <c r="E187" s="713"/>
      <c r="F187" s="672">
        <f>SUM(F182:F186)</f>
        <v>8.64</v>
      </c>
      <c r="G187" s="672">
        <f>SUM(G182:G186)</f>
        <v>10.126799999999999</v>
      </c>
      <c r="H187" s="672">
        <f>SUM(H182:H186)</f>
        <v>25.914000000000001</v>
      </c>
      <c r="I187" s="672">
        <f>SUM(I182:I186)</f>
        <v>438.6</v>
      </c>
      <c r="J187" s="673">
        <f>SUM(J182:J186)</f>
        <v>1.04</v>
      </c>
      <c r="K187" s="656"/>
      <c r="L187" s="591"/>
      <c r="M187" s="85"/>
    </row>
    <row r="188" spans="1:13" x14ac:dyDescent="0.25">
      <c r="A188" s="782"/>
      <c r="B188" s="124" t="s">
        <v>46</v>
      </c>
      <c r="C188" s="124"/>
      <c r="D188" s="13"/>
      <c r="E188" s="13"/>
      <c r="F188" s="282">
        <f>F180+F187</f>
        <v>11.58</v>
      </c>
      <c r="G188" s="282">
        <f>G180+G187</f>
        <v>13.486799999999999</v>
      </c>
      <c r="H188" s="282">
        <f>H180+H187</f>
        <v>30.849</v>
      </c>
      <c r="I188" s="282">
        <f>I180+I187</f>
        <v>499.5</v>
      </c>
      <c r="J188" s="282">
        <f>J180+J187</f>
        <v>2.4050000000000002</v>
      </c>
      <c r="K188" s="251"/>
      <c r="L188" s="235"/>
      <c r="M188" s="282" t="e">
        <f>SUM(#REF!,M181)</f>
        <v>#REF!</v>
      </c>
    </row>
    <row r="189" spans="1:13" ht="15" hidden="1" customHeight="1" x14ac:dyDescent="0.25">
      <c r="A189" s="782"/>
      <c r="B189" s="146"/>
      <c r="C189" s="146"/>
      <c r="D189" s="23"/>
      <c r="E189" s="23"/>
      <c r="F189" s="320">
        <f>SUM(F130,F178,F188)</f>
        <v>41.858800000000002</v>
      </c>
      <c r="G189" s="320">
        <f>SUM(G130,G178,G188)</f>
        <v>39.829700000000003</v>
      </c>
      <c r="H189" s="320">
        <f>SUM(H130,H178,H188)</f>
        <v>296.33949999999999</v>
      </c>
      <c r="I189" s="320">
        <f>SUM(I130,I178,I188)</f>
        <v>1918.71</v>
      </c>
      <c r="J189" s="320">
        <f>SUM(J130,J178,J188)</f>
        <v>5.4830000000000005</v>
      </c>
      <c r="K189" s="30"/>
      <c r="L189" s="32"/>
      <c r="M189" s="33" t="e">
        <f>SUM(M130,M178,M188)</f>
        <v>#REF!</v>
      </c>
    </row>
    <row r="190" spans="1:13" ht="15" hidden="1" customHeight="1" x14ac:dyDescent="0.25">
      <c r="A190" s="782"/>
      <c r="B190" s="107"/>
      <c r="C190" s="107"/>
      <c r="D190" s="63"/>
      <c r="E190" s="63"/>
      <c r="F190" s="63"/>
      <c r="G190" s="63"/>
      <c r="H190" s="63"/>
      <c r="I190" s="63"/>
      <c r="J190" s="96"/>
      <c r="K190" s="152"/>
      <c r="L190" s="114"/>
      <c r="M190" s="68"/>
    </row>
    <row r="191" spans="1:13" ht="15" hidden="1" customHeight="1" x14ac:dyDescent="0.25">
      <c r="A191" s="782"/>
      <c r="B191" s="124"/>
      <c r="C191" s="124"/>
      <c r="D191" s="63"/>
      <c r="E191" s="63"/>
      <c r="F191" s="118"/>
      <c r="G191" s="118"/>
      <c r="H191" s="118"/>
      <c r="I191" s="118"/>
      <c r="J191" s="119"/>
      <c r="K191" s="156"/>
      <c r="L191" s="65"/>
      <c r="M191" s="72"/>
    </row>
    <row r="192" spans="1:13" ht="15" hidden="1" customHeight="1" x14ac:dyDescent="0.25">
      <c r="A192" s="783"/>
      <c r="B192" s="124"/>
      <c r="C192" s="124"/>
      <c r="D192" s="63"/>
      <c r="E192" s="63"/>
      <c r="F192" s="142"/>
      <c r="G192" s="142"/>
      <c r="H192" s="142"/>
      <c r="I192" s="142"/>
      <c r="J192" s="143"/>
      <c r="K192" s="158"/>
      <c r="L192" s="65"/>
      <c r="M192" s="71"/>
    </row>
    <row r="193" spans="1:13" hidden="1" x14ac:dyDescent="0.25">
      <c r="A193" s="5"/>
      <c r="B193" s="13"/>
      <c r="C193" s="4"/>
      <c r="D193" s="105"/>
      <c r="E193" s="106"/>
      <c r="F193" s="63"/>
      <c r="G193" s="63"/>
      <c r="H193" s="63"/>
      <c r="I193" s="63"/>
      <c r="J193" s="96"/>
      <c r="K193" s="125"/>
      <c r="L193" s="65"/>
      <c r="M193" s="64"/>
    </row>
    <row r="194" spans="1:13" ht="15" hidden="1" customHeight="1" x14ac:dyDescent="0.25">
      <c r="A194" s="781"/>
      <c r="B194" s="647" t="s">
        <v>72</v>
      </c>
      <c r="C194" s="105"/>
      <c r="D194" s="13"/>
      <c r="E194" s="13"/>
      <c r="F194" s="13"/>
      <c r="G194" s="13"/>
      <c r="H194" s="13"/>
      <c r="I194" s="13"/>
      <c r="J194" s="96"/>
      <c r="K194" s="125"/>
      <c r="L194" s="65"/>
      <c r="M194" s="64"/>
    </row>
    <row r="195" spans="1:13" ht="15" hidden="1" customHeight="1" x14ac:dyDescent="0.25">
      <c r="A195" s="782"/>
      <c r="B195" s="647" t="s">
        <v>184</v>
      </c>
      <c r="C195" s="124"/>
      <c r="D195" s="13"/>
      <c r="E195" s="13"/>
      <c r="F195" s="13"/>
      <c r="G195" s="13"/>
      <c r="H195" s="13"/>
      <c r="I195" s="13"/>
      <c r="J195" s="96"/>
      <c r="K195" s="125"/>
      <c r="L195" s="79"/>
      <c r="M195" s="64"/>
    </row>
    <row r="196" spans="1:13" ht="15" hidden="1" customHeight="1" x14ac:dyDescent="0.25">
      <c r="A196" s="782"/>
      <c r="B196" s="107" t="s">
        <v>120</v>
      </c>
      <c r="C196" s="124"/>
      <c r="D196" s="63"/>
      <c r="E196" s="63"/>
      <c r="F196" s="63"/>
      <c r="G196" s="63"/>
      <c r="H196" s="63"/>
      <c r="I196" s="63"/>
      <c r="J196" s="96"/>
      <c r="K196" s="125"/>
      <c r="L196" s="114"/>
      <c r="M196" s="68"/>
    </row>
    <row r="197" spans="1:13" ht="15" hidden="1" customHeight="1" x14ac:dyDescent="0.25">
      <c r="A197" s="782"/>
      <c r="B197" s="107" t="s">
        <v>185</v>
      </c>
      <c r="C197" s="107"/>
      <c r="D197" s="63"/>
      <c r="E197" s="63"/>
      <c r="F197" s="63"/>
      <c r="G197" s="63"/>
      <c r="H197" s="63"/>
      <c r="I197" s="63"/>
      <c r="J197" s="96"/>
      <c r="K197" s="126"/>
      <c r="L197" s="114"/>
      <c r="M197" s="68"/>
    </row>
    <row r="198" spans="1:13" ht="15" hidden="1" customHeight="1" x14ac:dyDescent="0.25">
      <c r="A198" s="782"/>
      <c r="B198" s="107" t="s">
        <v>49</v>
      </c>
      <c r="C198" s="107"/>
      <c r="D198" s="63"/>
      <c r="E198" s="63"/>
      <c r="F198" s="63"/>
      <c r="G198" s="63"/>
      <c r="H198" s="63"/>
      <c r="I198" s="63"/>
      <c r="J198" s="96"/>
      <c r="K198" s="126"/>
      <c r="L198" s="114"/>
      <c r="M198" s="68"/>
    </row>
    <row r="199" spans="1:13" ht="15" hidden="1" customHeight="1" x14ac:dyDescent="0.25">
      <c r="A199" s="782"/>
      <c r="B199" s="107" t="s">
        <v>19</v>
      </c>
      <c r="C199" s="107"/>
      <c r="D199" s="63"/>
      <c r="E199" s="63"/>
      <c r="F199" s="63"/>
      <c r="G199" s="63"/>
      <c r="H199" s="63"/>
      <c r="I199" s="63"/>
      <c r="J199" s="96"/>
      <c r="K199" s="126"/>
      <c r="L199" s="114"/>
      <c r="M199" s="68"/>
    </row>
    <row r="200" spans="1:13" ht="15" hidden="1" customHeight="1" x14ac:dyDescent="0.25">
      <c r="A200" s="782"/>
      <c r="B200" s="157"/>
      <c r="C200" s="157"/>
      <c r="D200" s="51"/>
      <c r="E200" s="51"/>
      <c r="F200" s="274"/>
      <c r="G200" s="274"/>
      <c r="H200" s="274"/>
      <c r="I200" s="274"/>
      <c r="J200" s="279"/>
      <c r="K200" s="156"/>
      <c r="L200" s="65"/>
      <c r="M200" s="72"/>
    </row>
    <row r="201" spans="1:13" ht="15" hidden="1" customHeight="1" x14ac:dyDescent="0.25">
      <c r="A201" s="782"/>
      <c r="B201" s="647" t="s">
        <v>78</v>
      </c>
      <c r="C201" s="124"/>
      <c r="D201" s="63"/>
      <c r="E201" s="63"/>
      <c r="F201" s="118"/>
      <c r="G201" s="118"/>
      <c r="H201" s="118"/>
      <c r="I201" s="118"/>
      <c r="J201" s="139"/>
      <c r="K201" s="153"/>
      <c r="L201" s="114"/>
      <c r="M201" s="69"/>
    </row>
    <row r="202" spans="1:13" ht="15" hidden="1" customHeight="1" x14ac:dyDescent="0.25">
      <c r="A202" s="783"/>
      <c r="B202" s="124" t="s">
        <v>50</v>
      </c>
      <c r="C202" s="107"/>
      <c r="D202" s="63"/>
      <c r="E202" s="63"/>
      <c r="F202" s="159"/>
      <c r="G202" s="159"/>
      <c r="H202" s="159"/>
      <c r="I202" s="159"/>
      <c r="J202" s="160"/>
      <c r="K202" s="156"/>
      <c r="L202" s="65"/>
      <c r="M202" s="71"/>
    </row>
    <row r="203" spans="1:13" ht="29.25" customHeight="1" x14ac:dyDescent="0.25">
      <c r="A203" s="11" t="s">
        <v>79</v>
      </c>
      <c r="B203" s="714"/>
      <c r="C203" s="16"/>
      <c r="D203" s="17"/>
      <c r="E203" s="17"/>
      <c r="F203" s="18">
        <f>SUM(F130,F178,F192,F202)</f>
        <v>30.278800000000004</v>
      </c>
      <c r="G203" s="18">
        <f>SUM(G130,G178,G192,G202)</f>
        <v>26.3429</v>
      </c>
      <c r="H203" s="18">
        <f>SUM(H130,H178,H192,H202)</f>
        <v>265.4905</v>
      </c>
      <c r="I203" s="18">
        <f>SUM(I130,I178,I192,I202)</f>
        <v>1419.21</v>
      </c>
      <c r="J203" s="18">
        <f>SUM(J130,J178,J192,J202)</f>
        <v>3.0779999999999998</v>
      </c>
      <c r="K203" s="19"/>
      <c r="L203" s="74"/>
      <c r="M203" s="80" t="e">
        <f>SUM(M130,M178,M192,M202)</f>
        <v>#REF!</v>
      </c>
    </row>
    <row r="204" spans="1:13" x14ac:dyDescent="0.25">
      <c r="A204" s="13" t="s">
        <v>80</v>
      </c>
      <c r="B204" s="13"/>
      <c r="C204" s="13"/>
      <c r="D204" s="63"/>
      <c r="E204" s="63"/>
      <c r="F204" s="13"/>
      <c r="G204" s="13"/>
      <c r="H204" s="13"/>
      <c r="I204" s="13"/>
      <c r="J204" s="96"/>
      <c r="K204" s="125"/>
      <c r="L204" s="65"/>
      <c r="M204" s="64"/>
    </row>
    <row r="205" spans="1:13" x14ac:dyDescent="0.25">
      <c r="A205" s="5" t="s">
        <v>16</v>
      </c>
      <c r="B205" s="793" t="s">
        <v>103</v>
      </c>
      <c r="C205" s="124"/>
      <c r="D205" s="13"/>
      <c r="E205" s="13"/>
      <c r="F205" s="63"/>
      <c r="G205" s="63"/>
      <c r="H205" s="63"/>
      <c r="I205" s="63"/>
      <c r="J205" s="96"/>
      <c r="K205" s="125"/>
      <c r="L205" s="65"/>
      <c r="M205" s="64"/>
    </row>
    <row r="206" spans="1:13" x14ac:dyDescent="0.25">
      <c r="A206" s="571"/>
      <c r="B206" s="794"/>
      <c r="C206" s="140">
        <v>180</v>
      </c>
      <c r="D206" s="154"/>
      <c r="E206" s="154"/>
      <c r="F206" s="63"/>
      <c r="G206" s="63"/>
      <c r="H206" s="63"/>
      <c r="I206" s="63"/>
      <c r="J206" s="96"/>
      <c r="K206" s="155" t="s">
        <v>104</v>
      </c>
      <c r="L206" s="112"/>
      <c r="M206" s="108"/>
    </row>
    <row r="207" spans="1:13" x14ac:dyDescent="0.25">
      <c r="A207" s="572"/>
      <c r="B207" s="107" t="s">
        <v>105</v>
      </c>
      <c r="C207" s="96"/>
      <c r="D207" s="63">
        <v>34.299999999999997</v>
      </c>
      <c r="E207" s="63">
        <v>34.299999999999997</v>
      </c>
      <c r="F207" s="59">
        <v>4.1399999999999997</v>
      </c>
      <c r="G207" s="51">
        <v>1.198</v>
      </c>
      <c r="H207" s="51">
        <v>23.94</v>
      </c>
      <c r="I207" s="51">
        <v>125.28</v>
      </c>
      <c r="J207" s="53">
        <v>0</v>
      </c>
      <c r="K207" s="174"/>
      <c r="L207" s="112">
        <v>65.069999999999993</v>
      </c>
      <c r="M207" s="108">
        <f>SUM(L207*D207)/1000</f>
        <v>2.2319009999999992</v>
      </c>
    </row>
    <row r="208" spans="1:13" x14ac:dyDescent="0.25">
      <c r="A208" s="572"/>
      <c r="B208" s="107" t="s">
        <v>19</v>
      </c>
      <c r="C208" s="96"/>
      <c r="D208" s="63">
        <v>60</v>
      </c>
      <c r="E208" s="63">
        <v>60</v>
      </c>
      <c r="F208" s="59">
        <v>0</v>
      </c>
      <c r="G208" s="51">
        <v>0</v>
      </c>
      <c r="H208" s="51">
        <v>0</v>
      </c>
      <c r="I208" s="51">
        <v>0</v>
      </c>
      <c r="J208" s="53">
        <v>0</v>
      </c>
      <c r="K208" s="174"/>
      <c r="L208" s="112">
        <v>376.98</v>
      </c>
      <c r="M208" s="108">
        <f>SUM(L208*D208)/1000</f>
        <v>22.618800000000004</v>
      </c>
    </row>
    <row r="209" spans="1:13" x14ac:dyDescent="0.25">
      <c r="A209" s="572"/>
      <c r="B209" s="107" t="s">
        <v>44</v>
      </c>
      <c r="C209" s="96"/>
      <c r="D209" s="63">
        <v>85.7</v>
      </c>
      <c r="E209" s="63">
        <v>85.7</v>
      </c>
      <c r="F209" s="59">
        <v>2.52</v>
      </c>
      <c r="G209" s="51">
        <v>2.88</v>
      </c>
      <c r="H209" s="51">
        <v>4.2300000000000004</v>
      </c>
      <c r="I209" s="51">
        <v>52.5</v>
      </c>
      <c r="J209" s="53">
        <v>1.17</v>
      </c>
      <c r="K209" s="174"/>
      <c r="L209" s="112">
        <v>50.7</v>
      </c>
      <c r="M209" s="108">
        <f>SUM(L209*D209)/1000</f>
        <v>4.344990000000001</v>
      </c>
    </row>
    <row r="210" spans="1:13" x14ac:dyDescent="0.25">
      <c r="A210" s="572"/>
      <c r="B210" s="107" t="s">
        <v>49</v>
      </c>
      <c r="C210" s="96"/>
      <c r="D210" s="63">
        <v>5</v>
      </c>
      <c r="E210" s="63">
        <v>5</v>
      </c>
      <c r="F210" s="59">
        <v>0</v>
      </c>
      <c r="G210" s="51">
        <v>0</v>
      </c>
      <c r="H210" s="51">
        <v>5.3890000000000002</v>
      </c>
      <c r="I210" s="51">
        <v>20.466000000000001</v>
      </c>
      <c r="J210" s="53">
        <v>0</v>
      </c>
      <c r="K210" s="126"/>
      <c r="L210" s="112">
        <v>16.62</v>
      </c>
      <c r="M210" s="108">
        <f>SUM(L210*D210)/1000</f>
        <v>8.3100000000000007E-2</v>
      </c>
    </row>
    <row r="211" spans="1:13" x14ac:dyDescent="0.25">
      <c r="A211" s="572"/>
      <c r="B211" s="96" t="s">
        <v>112</v>
      </c>
      <c r="C211" s="96"/>
      <c r="D211" s="63">
        <v>0.5</v>
      </c>
      <c r="E211" s="63">
        <v>0.5</v>
      </c>
      <c r="F211" s="59">
        <v>0</v>
      </c>
      <c r="G211" s="59">
        <v>0</v>
      </c>
      <c r="H211" s="59">
        <v>0</v>
      </c>
      <c r="I211" s="59">
        <v>0</v>
      </c>
      <c r="J211" s="191">
        <v>0</v>
      </c>
      <c r="K211" s="126"/>
      <c r="L211" s="185"/>
      <c r="M211" s="72">
        <f>SUM(M207:M210)</f>
        <v>29.278791000000005</v>
      </c>
    </row>
    <row r="212" spans="1:13" x14ac:dyDescent="0.25">
      <c r="A212" s="572"/>
      <c r="B212" s="107" t="s">
        <v>49</v>
      </c>
      <c r="C212" s="96"/>
      <c r="D212" s="63">
        <v>8.5</v>
      </c>
      <c r="E212" s="63">
        <v>8.5</v>
      </c>
      <c r="F212" s="59">
        <v>0</v>
      </c>
      <c r="G212" s="51">
        <v>0</v>
      </c>
      <c r="H212" s="51">
        <v>5.3890000000000002</v>
      </c>
      <c r="I212" s="51">
        <v>20.466000000000001</v>
      </c>
      <c r="J212" s="53">
        <v>0</v>
      </c>
      <c r="K212" s="126"/>
      <c r="L212" s="114">
        <v>310</v>
      </c>
      <c r="M212" s="68">
        <v>16</v>
      </c>
    </row>
    <row r="213" spans="1:13" x14ac:dyDescent="0.25">
      <c r="A213" s="572"/>
      <c r="B213" s="96" t="s">
        <v>310</v>
      </c>
      <c r="C213" s="96"/>
      <c r="D213" s="63">
        <v>171.5</v>
      </c>
      <c r="E213" s="63">
        <v>171.5</v>
      </c>
      <c r="F213" s="59">
        <v>0</v>
      </c>
      <c r="G213" s="59">
        <v>0</v>
      </c>
      <c r="H213" s="59">
        <v>0</v>
      </c>
      <c r="I213" s="59">
        <v>0</v>
      </c>
      <c r="J213" s="191">
        <v>0</v>
      </c>
      <c r="K213" s="126"/>
      <c r="L213" s="114">
        <v>16</v>
      </c>
      <c r="M213" s="68">
        <f>SUM(L213*D213)/1000</f>
        <v>2.7440000000000002</v>
      </c>
    </row>
    <row r="214" spans="1:13" x14ac:dyDescent="0.25">
      <c r="A214" s="572"/>
      <c r="B214" s="96" t="s">
        <v>330</v>
      </c>
      <c r="C214" s="101"/>
      <c r="D214" s="100">
        <v>180</v>
      </c>
      <c r="E214" s="100"/>
      <c r="F214" s="192">
        <f>SUM(F207:F213)</f>
        <v>6.66</v>
      </c>
      <c r="G214" s="192">
        <f>SUM(G207:G213)</f>
        <v>4.0779999999999994</v>
      </c>
      <c r="H214" s="192">
        <f>SUM(H207:H213)</f>
        <v>38.948000000000008</v>
      </c>
      <c r="I214" s="192">
        <f>SUM(I207:I213)</f>
        <v>218.71200000000002</v>
      </c>
      <c r="J214" s="695">
        <f>SUM(J207:J213)</f>
        <v>1.17</v>
      </c>
      <c r="K214" s="126"/>
      <c r="L214" s="65"/>
      <c r="M214" s="72">
        <f>SUM(M207:M213)</f>
        <v>77.30158200000001</v>
      </c>
    </row>
    <row r="215" spans="1:13" x14ac:dyDescent="0.25">
      <c r="A215" s="572"/>
      <c r="B215" s="280" t="s">
        <v>402</v>
      </c>
      <c r="C215" s="64">
        <v>30</v>
      </c>
      <c r="D215" s="64">
        <v>30</v>
      </c>
      <c r="E215" s="64">
        <v>30</v>
      </c>
      <c r="F215" s="370">
        <v>3.4</v>
      </c>
      <c r="G215" s="370">
        <v>6.3</v>
      </c>
      <c r="H215" s="370">
        <v>32.799999999999997</v>
      </c>
      <c r="I215" s="370">
        <v>229.5</v>
      </c>
      <c r="J215" s="370">
        <v>0.13</v>
      </c>
      <c r="K215" s="64" t="s">
        <v>73</v>
      </c>
      <c r="L215" s="65"/>
      <c r="M215" s="64"/>
    </row>
    <row r="216" spans="1:13" x14ac:dyDescent="0.25">
      <c r="A216" s="572"/>
      <c r="B216" s="726" t="s">
        <v>384</v>
      </c>
      <c r="C216" s="105" t="s">
        <v>187</v>
      </c>
      <c r="D216" s="13"/>
      <c r="E216" s="13"/>
      <c r="F216" s="13"/>
      <c r="G216" s="13"/>
      <c r="H216" s="13"/>
      <c r="I216" s="13"/>
      <c r="J216" s="96"/>
      <c r="K216" s="125" t="s">
        <v>188</v>
      </c>
      <c r="L216" s="114">
        <v>50.7</v>
      </c>
      <c r="M216" s="68">
        <f>SUM(L216*D216)/1000</f>
        <v>0</v>
      </c>
    </row>
    <row r="217" spans="1:13" x14ac:dyDescent="0.25">
      <c r="A217" s="572"/>
      <c r="B217" s="726" t="s">
        <v>184</v>
      </c>
      <c r="C217" s="124"/>
      <c r="D217" s="13">
        <v>30</v>
      </c>
      <c r="E217" s="13">
        <v>30</v>
      </c>
      <c r="F217" s="13"/>
      <c r="G217" s="13"/>
      <c r="H217" s="13"/>
      <c r="I217" s="13"/>
      <c r="J217" s="96"/>
      <c r="K217" s="125"/>
      <c r="L217" s="79">
        <v>60.94</v>
      </c>
      <c r="M217" s="315">
        <f>SUM(D217*L217)/1000</f>
        <v>1.8281999999999998</v>
      </c>
    </row>
    <row r="218" spans="1:13" x14ac:dyDescent="0.25">
      <c r="A218" s="572"/>
      <c r="B218" s="107" t="s">
        <v>141</v>
      </c>
      <c r="C218" s="124"/>
      <c r="D218" s="63">
        <v>92</v>
      </c>
      <c r="E218" s="63">
        <v>92</v>
      </c>
      <c r="F218" s="63">
        <v>0</v>
      </c>
      <c r="G218" s="63">
        <v>2.34</v>
      </c>
      <c r="H218" s="63">
        <v>14.31</v>
      </c>
      <c r="I218" s="63">
        <v>8.9</v>
      </c>
      <c r="J218" s="96">
        <v>1.2</v>
      </c>
      <c r="K218" s="125"/>
      <c r="L218" s="79"/>
      <c r="M218" s="315"/>
    </row>
    <row r="219" spans="1:13" x14ac:dyDescent="0.25">
      <c r="A219" s="572"/>
      <c r="B219" s="107" t="s">
        <v>185</v>
      </c>
      <c r="C219" s="107"/>
      <c r="D219" s="63">
        <v>0.3</v>
      </c>
      <c r="E219" s="63">
        <v>0.3</v>
      </c>
      <c r="F219" s="63">
        <v>2.67</v>
      </c>
      <c r="G219" s="63">
        <v>0</v>
      </c>
      <c r="H219" s="63">
        <v>2.07E-2</v>
      </c>
      <c r="I219" s="63">
        <v>0.45540000000000003</v>
      </c>
      <c r="J219" s="96">
        <v>0.03</v>
      </c>
      <c r="K219" s="126"/>
      <c r="L219" s="79"/>
      <c r="M219" s="315"/>
    </row>
    <row r="220" spans="1:13" x14ac:dyDescent="0.25">
      <c r="A220" s="572"/>
      <c r="B220" s="107" t="s">
        <v>49</v>
      </c>
      <c r="C220" s="107"/>
      <c r="D220" s="63">
        <v>10</v>
      </c>
      <c r="E220" s="63">
        <v>10</v>
      </c>
      <c r="F220" s="63">
        <v>0</v>
      </c>
      <c r="G220" s="63">
        <v>0</v>
      </c>
      <c r="H220" s="63">
        <v>9.98</v>
      </c>
      <c r="I220" s="63">
        <v>37.9</v>
      </c>
      <c r="J220" s="96">
        <v>0</v>
      </c>
      <c r="K220" s="126"/>
      <c r="L220" s="79"/>
      <c r="M220" s="315"/>
    </row>
    <row r="221" spans="1:13" x14ac:dyDescent="0.25">
      <c r="A221" s="572"/>
      <c r="B221" s="107" t="s">
        <v>19</v>
      </c>
      <c r="C221" s="107"/>
      <c r="D221" s="63">
        <v>60</v>
      </c>
      <c r="E221" s="63">
        <v>60</v>
      </c>
      <c r="F221" s="63">
        <v>0</v>
      </c>
      <c r="G221" s="63">
        <v>0</v>
      </c>
      <c r="H221" s="63">
        <v>0</v>
      </c>
      <c r="I221" s="63">
        <v>0</v>
      </c>
      <c r="J221" s="96">
        <v>0</v>
      </c>
      <c r="K221" s="126"/>
      <c r="L221" s="246"/>
      <c r="M221" s="314" t="e">
        <f>SUM(M205,M211,#REF!,M216:M217)</f>
        <v>#REF!</v>
      </c>
    </row>
    <row r="222" spans="1:13" ht="15.75" customHeight="1" x14ac:dyDescent="0.25">
      <c r="A222" s="572"/>
      <c r="B222" s="107"/>
      <c r="C222" s="107"/>
      <c r="D222" s="63"/>
      <c r="E222" s="63"/>
      <c r="F222" s="274">
        <f>SUM(F217:F221)</f>
        <v>2.67</v>
      </c>
      <c r="G222" s="274">
        <f>SUM(G217:G221)</f>
        <v>2.34</v>
      </c>
      <c r="H222" s="274">
        <f>SUM(H217:H221)</f>
        <v>24.310700000000001</v>
      </c>
      <c r="I222" s="274">
        <f>SUM(I217:I221)</f>
        <v>47.255399999999995</v>
      </c>
      <c r="J222" s="274">
        <f>SUM(J217:J221)</f>
        <v>1.23</v>
      </c>
      <c r="K222" s="153"/>
      <c r="L222" s="114"/>
      <c r="M222" s="68"/>
    </row>
    <row r="223" spans="1:13" ht="15" hidden="1" customHeight="1" x14ac:dyDescent="0.25">
      <c r="A223" s="572"/>
      <c r="B223" s="138" t="s">
        <v>57</v>
      </c>
      <c r="C223" s="150"/>
      <c r="D223" s="63"/>
      <c r="E223" s="63"/>
      <c r="F223" s="314" t="e">
        <f>SUM(F205,F211,#REF!,F216:F217)</f>
        <v>#REF!</v>
      </c>
      <c r="G223" s="314" t="e">
        <f>SUM(G205,G211,#REF!,G216:G217)</f>
        <v>#REF!</v>
      </c>
      <c r="H223" s="314" t="e">
        <f>SUM(H205,H211,#REF!,H216:H217)</f>
        <v>#REF!</v>
      </c>
      <c r="I223" s="314" t="e">
        <f>SUM(I205,I211,#REF!,I216:I217)</f>
        <v>#REF!</v>
      </c>
      <c r="J223" s="314" t="e">
        <f>SUM(J205,J211,#REF!,J216:J217)</f>
        <v>#REF!</v>
      </c>
      <c r="K223" s="245"/>
      <c r="L223" s="114"/>
      <c r="M223" s="68"/>
    </row>
    <row r="224" spans="1:13" ht="15" hidden="1" customHeight="1" x14ac:dyDescent="0.25">
      <c r="A224" s="573"/>
      <c r="B224" s="157"/>
      <c r="C224" s="157"/>
      <c r="D224" s="51"/>
      <c r="E224" s="51"/>
      <c r="F224" s="274"/>
      <c r="G224" s="274"/>
      <c r="H224" s="274"/>
      <c r="I224" s="274"/>
      <c r="J224" s="279"/>
      <c r="K224" s="156"/>
      <c r="L224" s="65"/>
      <c r="M224" s="72"/>
    </row>
    <row r="225" spans="1:13" ht="15" hidden="1" customHeight="1" x14ac:dyDescent="0.25">
      <c r="A225" s="787"/>
      <c r="B225" s="124"/>
      <c r="C225" s="124"/>
      <c r="D225" s="63"/>
      <c r="E225" s="63"/>
      <c r="F225" s="130"/>
      <c r="G225" s="130"/>
      <c r="H225" s="130"/>
      <c r="I225" s="130"/>
      <c r="J225" s="131"/>
      <c r="K225" s="162"/>
      <c r="L225" s="65"/>
      <c r="M225" s="81"/>
    </row>
    <row r="226" spans="1:13" ht="15" hidden="1" customHeight="1" x14ac:dyDescent="0.25">
      <c r="A226" s="789"/>
      <c r="B226" s="140"/>
      <c r="C226" s="163"/>
      <c r="D226" s="63"/>
      <c r="E226" s="13"/>
      <c r="F226" s="164"/>
      <c r="G226" s="164"/>
      <c r="H226" s="164"/>
      <c r="I226" s="164"/>
      <c r="J226" s="164"/>
      <c r="K226" s="162"/>
      <c r="L226" s="65"/>
      <c r="M226" s="71"/>
    </row>
    <row r="227" spans="1:13" ht="15" customHeight="1" x14ac:dyDescent="0.25">
      <c r="A227" s="725"/>
      <c r="B227" s="140" t="s">
        <v>26</v>
      </c>
      <c r="C227" s="163"/>
      <c r="D227" s="231"/>
      <c r="E227" s="728"/>
      <c r="F227" s="310">
        <f>F214+F215+F222+F233</f>
        <v>12.73</v>
      </c>
      <c r="G227" s="310">
        <f>G214+G215+G222+G233</f>
        <v>12.718</v>
      </c>
      <c r="H227" s="310">
        <f>H214+H215+H233</f>
        <v>91.728000000000009</v>
      </c>
      <c r="I227" s="310">
        <f>I214+I215+I222+I233</f>
        <v>599.4674</v>
      </c>
      <c r="J227" s="731">
        <f>J214+J215+J222+J233</f>
        <v>2.57</v>
      </c>
      <c r="K227" s="162"/>
      <c r="L227" s="65"/>
      <c r="M227" s="71"/>
    </row>
    <row r="228" spans="1:13" ht="15" customHeight="1" x14ac:dyDescent="0.25">
      <c r="A228" s="741"/>
      <c r="B228" s="140" t="s">
        <v>432</v>
      </c>
      <c r="C228" s="163"/>
      <c r="D228" s="231"/>
      <c r="E228" s="728"/>
      <c r="F228" s="764"/>
      <c r="G228" s="764"/>
      <c r="H228" s="764"/>
      <c r="I228" s="764"/>
      <c r="J228" s="765"/>
      <c r="K228" s="162"/>
      <c r="L228" s="65"/>
      <c r="M228" s="71"/>
    </row>
    <row r="229" spans="1:13" ht="15" customHeight="1" x14ac:dyDescent="0.25">
      <c r="A229" s="741"/>
      <c r="B229" s="384" t="s">
        <v>267</v>
      </c>
      <c r="C229" s="390">
        <v>180</v>
      </c>
      <c r="D229" s="391"/>
      <c r="E229" s="340"/>
      <c r="F229" s="616"/>
      <c r="G229" s="616"/>
      <c r="H229" s="616"/>
      <c r="I229" s="617"/>
      <c r="J229" s="618"/>
      <c r="K229" s="485" t="s">
        <v>268</v>
      </c>
      <c r="L229" s="65"/>
      <c r="M229" s="71"/>
    </row>
    <row r="230" spans="1:13" ht="15" customHeight="1" x14ac:dyDescent="0.25">
      <c r="A230" s="741"/>
      <c r="B230" s="382" t="s">
        <v>269</v>
      </c>
      <c r="C230" s="343"/>
      <c r="D230" s="340">
        <v>18</v>
      </c>
      <c r="E230" s="340">
        <v>18</v>
      </c>
      <c r="F230" s="340">
        <v>0</v>
      </c>
      <c r="G230" s="340">
        <v>0</v>
      </c>
      <c r="H230" s="340">
        <v>0</v>
      </c>
      <c r="I230" s="345">
        <v>28.2</v>
      </c>
      <c r="J230" s="346">
        <v>0.04</v>
      </c>
      <c r="K230" s="480"/>
      <c r="L230" s="65"/>
      <c r="M230" s="71"/>
    </row>
    <row r="231" spans="1:13" ht="15" customHeight="1" x14ac:dyDescent="0.25">
      <c r="A231" s="741"/>
      <c r="B231" s="382" t="s">
        <v>230</v>
      </c>
      <c r="C231" s="343"/>
      <c r="D231" s="340">
        <v>10</v>
      </c>
      <c r="E231" s="340">
        <v>10</v>
      </c>
      <c r="F231" s="340">
        <v>0</v>
      </c>
      <c r="G231" s="340">
        <v>0</v>
      </c>
      <c r="H231" s="340">
        <v>19.98</v>
      </c>
      <c r="I231" s="345">
        <v>75.8</v>
      </c>
      <c r="J231" s="346">
        <v>0</v>
      </c>
      <c r="K231" s="480"/>
      <c r="L231" s="65"/>
      <c r="M231" s="71"/>
    </row>
    <row r="232" spans="1:13" ht="15" customHeight="1" x14ac:dyDescent="0.25">
      <c r="A232" s="741"/>
      <c r="B232" s="696" t="s">
        <v>229</v>
      </c>
      <c r="C232" s="445"/>
      <c r="D232" s="386">
        <v>180</v>
      </c>
      <c r="E232" s="386">
        <v>180</v>
      </c>
      <c r="F232" s="386">
        <v>0</v>
      </c>
      <c r="G232" s="386">
        <v>0</v>
      </c>
      <c r="H232" s="386">
        <v>0</v>
      </c>
      <c r="I232" s="447">
        <v>0</v>
      </c>
      <c r="J232" s="448">
        <v>0</v>
      </c>
      <c r="K232" s="480"/>
      <c r="L232" s="65"/>
      <c r="M232" s="71"/>
    </row>
    <row r="233" spans="1:13" ht="15" customHeight="1" x14ac:dyDescent="0.25">
      <c r="A233" s="741"/>
      <c r="B233" s="420"/>
      <c r="C233" s="421"/>
      <c r="D233" s="366"/>
      <c r="E233" s="366"/>
      <c r="F233" s="698">
        <f>SUM(F230:F232)</f>
        <v>0</v>
      </c>
      <c r="G233" s="698">
        <f>SUM(G230:G232)</f>
        <v>0</v>
      </c>
      <c r="H233" s="698">
        <f>SUM(H230:H232)</f>
        <v>19.98</v>
      </c>
      <c r="I233" s="698">
        <f>SUM(I230:I232)</f>
        <v>104</v>
      </c>
      <c r="J233" s="698">
        <f>SUM(J230:J232)</f>
        <v>0.04</v>
      </c>
      <c r="K233" s="692"/>
      <c r="L233" s="65"/>
      <c r="M233" s="71"/>
    </row>
    <row r="234" spans="1:13" x14ac:dyDescent="0.25">
      <c r="A234" s="645" t="s">
        <v>58</v>
      </c>
      <c r="B234" s="154"/>
      <c r="C234" s="165"/>
      <c r="D234" s="166"/>
      <c r="E234" s="167"/>
      <c r="F234" s="141"/>
      <c r="G234" s="141"/>
      <c r="H234" s="141"/>
      <c r="I234" s="141"/>
      <c r="J234" s="168"/>
      <c r="K234" s="126"/>
      <c r="L234" s="65"/>
      <c r="M234" s="64"/>
    </row>
    <row r="235" spans="1:13" ht="30" x14ac:dyDescent="0.25">
      <c r="A235" s="781"/>
      <c r="B235" s="648" t="s">
        <v>217</v>
      </c>
      <c r="C235" s="140">
        <v>200</v>
      </c>
      <c r="D235" s="154"/>
      <c r="E235" s="154"/>
      <c r="F235" s="13"/>
      <c r="G235" s="13"/>
      <c r="H235" s="13"/>
      <c r="I235" s="13"/>
      <c r="J235" s="96"/>
      <c r="K235" s="125" t="s">
        <v>134</v>
      </c>
      <c r="L235" s="65"/>
      <c r="M235" s="64"/>
    </row>
    <row r="236" spans="1:13" x14ac:dyDescent="0.25">
      <c r="A236" s="782"/>
      <c r="B236" s="96" t="s">
        <v>36</v>
      </c>
      <c r="C236" s="96"/>
      <c r="D236" s="98">
        <v>53.4</v>
      </c>
      <c r="E236" s="98">
        <v>40</v>
      </c>
      <c r="F236" s="102">
        <v>0.8</v>
      </c>
      <c r="G236" s="63">
        <v>0.16</v>
      </c>
      <c r="H236" s="63">
        <v>6.52</v>
      </c>
      <c r="I236" s="63">
        <v>30.8</v>
      </c>
      <c r="J236" s="96">
        <v>8</v>
      </c>
      <c r="K236" s="152"/>
      <c r="L236" s="114">
        <v>20.7</v>
      </c>
      <c r="M236" s="68" t="e">
        <f>SUM(L236*#REF!)/1000</f>
        <v>#REF!</v>
      </c>
    </row>
    <row r="237" spans="1:13" x14ac:dyDescent="0.25">
      <c r="A237" s="782"/>
      <c r="B237" s="96" t="s">
        <v>135</v>
      </c>
      <c r="C237" s="96"/>
      <c r="D237" s="98">
        <v>16.2</v>
      </c>
      <c r="E237" s="98">
        <v>16</v>
      </c>
      <c r="F237" s="102">
        <v>3.68</v>
      </c>
      <c r="G237" s="63">
        <v>0.25600000000000001</v>
      </c>
      <c r="H237" s="63">
        <v>8.1280000000000001</v>
      </c>
      <c r="I237" s="63">
        <v>50.24</v>
      </c>
      <c r="J237" s="96">
        <v>0</v>
      </c>
      <c r="K237" s="152"/>
      <c r="L237" s="114">
        <v>21.89</v>
      </c>
      <c r="M237" s="68" t="e">
        <f>SUM(L237*#REF!)/1000</f>
        <v>#REF!</v>
      </c>
    </row>
    <row r="238" spans="1:13" x14ac:dyDescent="0.25">
      <c r="A238" s="782"/>
      <c r="B238" s="96" t="s">
        <v>32</v>
      </c>
      <c r="C238" s="96"/>
      <c r="D238" s="98">
        <v>10</v>
      </c>
      <c r="E238" s="98">
        <v>8</v>
      </c>
      <c r="F238" s="102">
        <v>0.112</v>
      </c>
      <c r="G238" s="63">
        <v>1.6E-2</v>
      </c>
      <c r="H238" s="63">
        <v>0.65600000000000003</v>
      </c>
      <c r="I238" s="63">
        <v>3.28</v>
      </c>
      <c r="J238" s="96">
        <v>0.8</v>
      </c>
      <c r="K238" s="152"/>
      <c r="L238" s="114">
        <v>38.5</v>
      </c>
      <c r="M238" s="68" t="e">
        <f>SUM(L238*#REF!)/1000</f>
        <v>#REF!</v>
      </c>
    </row>
    <row r="239" spans="1:13" x14ac:dyDescent="0.25">
      <c r="A239" s="782"/>
      <c r="B239" s="96" t="s">
        <v>59</v>
      </c>
      <c r="C239" s="96"/>
      <c r="D239" s="98">
        <v>12.6</v>
      </c>
      <c r="E239" s="98">
        <v>10</v>
      </c>
      <c r="F239" s="102">
        <v>0.13</v>
      </c>
      <c r="G239" s="63">
        <v>0.01</v>
      </c>
      <c r="H239" s="63">
        <v>0.69</v>
      </c>
      <c r="I239" s="63">
        <v>3.5</v>
      </c>
      <c r="J239" s="96">
        <v>0.5</v>
      </c>
      <c r="K239" s="152"/>
      <c r="L239" s="114">
        <v>21.98</v>
      </c>
      <c r="M239" s="68" t="e">
        <f>SUM(L239*#REF!)/1000</f>
        <v>#REF!</v>
      </c>
    </row>
    <row r="240" spans="1:13" x14ac:dyDescent="0.25">
      <c r="A240" s="782"/>
      <c r="B240" s="96" t="s">
        <v>37</v>
      </c>
      <c r="C240" s="96"/>
      <c r="D240" s="98">
        <v>4</v>
      </c>
      <c r="E240" s="98">
        <v>4</v>
      </c>
      <c r="F240" s="102">
        <v>0</v>
      </c>
      <c r="G240" s="63">
        <v>3.996</v>
      </c>
      <c r="H240" s="63">
        <v>0</v>
      </c>
      <c r="I240" s="63">
        <v>35.96</v>
      </c>
      <c r="J240" s="96">
        <v>0</v>
      </c>
      <c r="K240" s="152"/>
      <c r="L240" s="114">
        <v>104</v>
      </c>
      <c r="M240" s="68" t="e">
        <f>SUM(L240*#REF!)/1000</f>
        <v>#REF!</v>
      </c>
    </row>
    <row r="241" spans="1:13" x14ac:dyDescent="0.25">
      <c r="A241" s="782"/>
      <c r="B241" s="96" t="s">
        <v>112</v>
      </c>
      <c r="C241" s="96"/>
      <c r="D241" s="98">
        <v>1.2</v>
      </c>
      <c r="E241" s="98">
        <v>1.2</v>
      </c>
      <c r="F241" s="102">
        <v>0</v>
      </c>
      <c r="G241" s="63">
        <v>0</v>
      </c>
      <c r="H241" s="63">
        <v>0</v>
      </c>
      <c r="I241" s="63">
        <v>0</v>
      </c>
      <c r="J241" s="96">
        <v>0</v>
      </c>
      <c r="K241" s="152"/>
      <c r="L241" s="114">
        <v>92.2</v>
      </c>
      <c r="M241" s="68" t="e">
        <f>SUM(L241*#REF!)/1000</f>
        <v>#REF!</v>
      </c>
    </row>
    <row r="242" spans="1:13" x14ac:dyDescent="0.25">
      <c r="A242" s="782"/>
      <c r="B242" s="96" t="s">
        <v>61</v>
      </c>
      <c r="C242" s="96"/>
      <c r="D242" s="98">
        <v>7.0000000000000001E-3</v>
      </c>
      <c r="E242" s="98">
        <v>7.0000000000000001E-3</v>
      </c>
      <c r="F242" s="102">
        <v>0</v>
      </c>
      <c r="G242" s="63">
        <v>0</v>
      </c>
      <c r="H242" s="63">
        <v>0</v>
      </c>
      <c r="I242" s="63">
        <v>0</v>
      </c>
      <c r="J242" s="96">
        <v>0</v>
      </c>
      <c r="K242" s="152"/>
      <c r="L242" s="114">
        <v>153</v>
      </c>
      <c r="M242" s="68" t="e">
        <f>SUM(L242*#REF!)/1000</f>
        <v>#REF!</v>
      </c>
    </row>
    <row r="243" spans="1:13" ht="15" hidden="1" customHeight="1" x14ac:dyDescent="0.25">
      <c r="A243" s="782"/>
      <c r="B243" s="96" t="s">
        <v>19</v>
      </c>
      <c r="C243" s="96"/>
      <c r="D243" s="98">
        <v>140</v>
      </c>
      <c r="E243" s="98">
        <v>140</v>
      </c>
      <c r="F243" s="102">
        <v>0</v>
      </c>
      <c r="G243" s="63">
        <v>0</v>
      </c>
      <c r="H243" s="63">
        <v>0</v>
      </c>
      <c r="I243" s="63">
        <v>0</v>
      </c>
      <c r="J243" s="96">
        <v>0</v>
      </c>
      <c r="K243" s="126"/>
      <c r="L243" s="114"/>
      <c r="M243" s="68"/>
    </row>
    <row r="244" spans="1:13" ht="15" hidden="1" customHeight="1" x14ac:dyDescent="0.25">
      <c r="A244" s="782"/>
      <c r="B244" s="124"/>
      <c r="C244" s="107"/>
      <c r="D244" s="98"/>
      <c r="E244" s="98"/>
      <c r="F244" s="118">
        <f>SUM(F236:F242)</f>
        <v>4.7220000000000004</v>
      </c>
      <c r="G244" s="118">
        <f>SUM(G236:G242)</f>
        <v>4.4379999999999997</v>
      </c>
      <c r="H244" s="118">
        <f>SUM(H236:H243)</f>
        <v>15.994</v>
      </c>
      <c r="I244" s="118">
        <f>SUM(I236:I243)</f>
        <v>123.78</v>
      </c>
      <c r="J244" s="206">
        <f>SUM(J236:J243)</f>
        <v>9.3000000000000007</v>
      </c>
      <c r="K244" s="126"/>
      <c r="L244" s="114"/>
      <c r="M244" s="68"/>
    </row>
    <row r="245" spans="1:13" ht="15" customHeight="1" x14ac:dyDescent="0.25">
      <c r="A245" s="782"/>
      <c r="B245" s="124"/>
      <c r="C245" s="107"/>
      <c r="D245" s="98"/>
      <c r="E245" s="98"/>
      <c r="F245" s="118">
        <v>4.7220000000000004</v>
      </c>
      <c r="G245" s="118">
        <v>4.4379999999999997</v>
      </c>
      <c r="H245" s="118">
        <v>15.994</v>
      </c>
      <c r="I245" s="118">
        <v>123.78</v>
      </c>
      <c r="J245" s="139">
        <v>9.3000000000000007</v>
      </c>
      <c r="K245" s="126"/>
      <c r="L245" s="114"/>
      <c r="M245" s="68"/>
    </row>
    <row r="246" spans="1:13" x14ac:dyDescent="0.25">
      <c r="A246" s="782"/>
      <c r="B246" s="647" t="s">
        <v>212</v>
      </c>
      <c r="C246" s="124">
        <v>70</v>
      </c>
      <c r="D246" s="13"/>
      <c r="E246" s="13"/>
      <c r="F246" s="52"/>
      <c r="G246" s="52"/>
      <c r="H246" s="52"/>
      <c r="I246" s="52"/>
      <c r="J246" s="53"/>
      <c r="K246" s="108" t="s">
        <v>64</v>
      </c>
      <c r="L246" s="65"/>
      <c r="M246" s="64"/>
    </row>
    <row r="247" spans="1:13" x14ac:dyDescent="0.25">
      <c r="A247" s="782"/>
      <c r="B247" s="107" t="s">
        <v>65</v>
      </c>
      <c r="C247" s="107"/>
      <c r="D247" s="63">
        <v>70</v>
      </c>
      <c r="E247" s="63">
        <v>51.62</v>
      </c>
      <c r="F247" s="63">
        <v>9.6010000000000009</v>
      </c>
      <c r="G247" s="63">
        <v>8.2590000000000003</v>
      </c>
      <c r="H247" s="63">
        <v>0</v>
      </c>
      <c r="I247" s="63">
        <v>112.73</v>
      </c>
      <c r="J247" s="96">
        <v>0</v>
      </c>
      <c r="K247" s="136"/>
      <c r="L247" s="114">
        <v>368.17</v>
      </c>
      <c r="M247" s="68">
        <f t="shared" ref="M247:M252" si="8">SUM(L247*D247)/1000</f>
        <v>25.771900000000002</v>
      </c>
    </row>
    <row r="248" spans="1:13" x14ac:dyDescent="0.25">
      <c r="A248" s="782"/>
      <c r="B248" s="107" t="s">
        <v>40</v>
      </c>
      <c r="C248" s="107"/>
      <c r="D248" s="63">
        <v>12.3</v>
      </c>
      <c r="E248" s="63">
        <v>12.3</v>
      </c>
      <c r="F248" s="63">
        <v>0.94299999999999995</v>
      </c>
      <c r="G248" s="63">
        <v>0.36699999999999999</v>
      </c>
      <c r="H248" s="63">
        <v>6.1</v>
      </c>
      <c r="I248" s="63">
        <v>32.094999999999999</v>
      </c>
      <c r="J248" s="96">
        <v>0</v>
      </c>
      <c r="K248" s="152"/>
      <c r="L248" s="114">
        <v>35</v>
      </c>
      <c r="M248" s="68">
        <f t="shared" si="8"/>
        <v>0.43049999999999999</v>
      </c>
    </row>
    <row r="249" spans="1:13" x14ac:dyDescent="0.25">
      <c r="A249" s="782"/>
      <c r="B249" s="107" t="s">
        <v>66</v>
      </c>
      <c r="C249" s="107"/>
      <c r="D249" s="63">
        <v>11.2</v>
      </c>
      <c r="E249" s="63">
        <v>11.2</v>
      </c>
      <c r="F249" s="63">
        <v>0.46500000000000002</v>
      </c>
      <c r="G249" s="63">
        <v>0.53100000000000003</v>
      </c>
      <c r="H249" s="63">
        <v>0.78100000000000003</v>
      </c>
      <c r="I249" s="63">
        <v>9.6389999999999993</v>
      </c>
      <c r="J249" s="96">
        <v>0.216</v>
      </c>
      <c r="K249" s="152"/>
      <c r="L249" s="114">
        <v>43.22</v>
      </c>
      <c r="M249" s="68">
        <f t="shared" si="8"/>
        <v>0.48406399999999994</v>
      </c>
    </row>
    <row r="250" spans="1:13" x14ac:dyDescent="0.25">
      <c r="A250" s="782"/>
      <c r="B250" s="116" t="s">
        <v>67</v>
      </c>
      <c r="C250" s="107"/>
      <c r="D250" s="63"/>
      <c r="E250" s="63"/>
      <c r="F250" s="63"/>
      <c r="G250" s="63"/>
      <c r="H250" s="63"/>
      <c r="I250" s="63"/>
      <c r="J250" s="96"/>
      <c r="K250" s="152"/>
      <c r="L250" s="114">
        <v>0</v>
      </c>
      <c r="M250" s="68">
        <f t="shared" si="8"/>
        <v>0</v>
      </c>
    </row>
    <row r="251" spans="1:13" x14ac:dyDescent="0.25">
      <c r="A251" s="782"/>
      <c r="B251" s="107" t="s">
        <v>32</v>
      </c>
      <c r="C251" s="107"/>
      <c r="D251" s="63">
        <v>6</v>
      </c>
      <c r="E251" s="63">
        <v>5</v>
      </c>
      <c r="F251" s="63">
        <v>7.0000000000000007E-2</v>
      </c>
      <c r="G251" s="63">
        <v>0</v>
      </c>
      <c r="H251" s="63">
        <v>0.41</v>
      </c>
      <c r="I251" s="63">
        <v>2.0499999999999998</v>
      </c>
      <c r="J251" s="96">
        <v>0</v>
      </c>
      <c r="K251" s="152"/>
      <c r="L251" s="114">
        <v>21.98</v>
      </c>
      <c r="M251" s="68">
        <f t="shared" si="8"/>
        <v>0.13188</v>
      </c>
    </row>
    <row r="252" spans="1:13" x14ac:dyDescent="0.25">
      <c r="A252" s="782"/>
      <c r="B252" s="107" t="s">
        <v>112</v>
      </c>
      <c r="C252" s="107"/>
      <c r="D252" s="63">
        <v>0.5</v>
      </c>
      <c r="E252" s="63">
        <v>0.5</v>
      </c>
      <c r="F252" s="63">
        <v>0</v>
      </c>
      <c r="G252" s="63">
        <v>0</v>
      </c>
      <c r="H252" s="63">
        <v>0</v>
      </c>
      <c r="I252" s="63">
        <v>0</v>
      </c>
      <c r="J252" s="96">
        <v>0</v>
      </c>
      <c r="K252" s="152"/>
      <c r="L252" s="114">
        <v>92.2</v>
      </c>
      <c r="M252" s="68">
        <f t="shared" si="8"/>
        <v>4.6100000000000002E-2</v>
      </c>
    </row>
    <row r="253" spans="1:13" x14ac:dyDescent="0.25">
      <c r="A253" s="782"/>
      <c r="B253" s="107" t="s">
        <v>388</v>
      </c>
      <c r="C253" s="107"/>
      <c r="D253" s="195">
        <v>4</v>
      </c>
      <c r="E253" s="63">
        <v>4</v>
      </c>
      <c r="F253" s="63">
        <v>3.2000000000000001E-2</v>
      </c>
      <c r="G253" s="63">
        <v>2.9</v>
      </c>
      <c r="H253" s="63">
        <v>5.1999999999999998E-2</v>
      </c>
      <c r="I253" s="63">
        <v>26.4</v>
      </c>
      <c r="J253" s="96">
        <v>0</v>
      </c>
      <c r="K253" s="152"/>
      <c r="L253" s="114">
        <v>4.6900000000000004</v>
      </c>
      <c r="M253" s="68">
        <f>SUM(L253*D253)/40</f>
        <v>0.46900000000000003</v>
      </c>
    </row>
    <row r="254" spans="1:13" x14ac:dyDescent="0.25">
      <c r="A254" s="782"/>
      <c r="B254" s="107" t="s">
        <v>68</v>
      </c>
      <c r="C254" s="107"/>
      <c r="D254" s="63">
        <v>7</v>
      </c>
      <c r="E254" s="63">
        <v>7</v>
      </c>
      <c r="F254" s="63">
        <v>0</v>
      </c>
      <c r="G254" s="63">
        <v>0</v>
      </c>
      <c r="H254" s="63">
        <v>0</v>
      </c>
      <c r="I254" s="63">
        <v>0</v>
      </c>
      <c r="J254" s="96">
        <v>0</v>
      </c>
      <c r="K254" s="152"/>
      <c r="L254" s="114">
        <v>60.5</v>
      </c>
      <c r="M254" s="68">
        <f>SUM(L254*D254)/1000</f>
        <v>0.42349999999999999</v>
      </c>
    </row>
    <row r="255" spans="1:13" x14ac:dyDescent="0.25">
      <c r="A255" s="782"/>
      <c r="B255" s="107" t="s">
        <v>288</v>
      </c>
      <c r="C255" s="107"/>
      <c r="D255" s="63">
        <v>5</v>
      </c>
      <c r="E255" s="63">
        <v>5</v>
      </c>
      <c r="F255" s="63">
        <v>0.04</v>
      </c>
      <c r="G255" s="63">
        <v>3.625</v>
      </c>
      <c r="H255" s="63">
        <v>6.5000000000000002E-2</v>
      </c>
      <c r="I255" s="63">
        <v>33.049999999999997</v>
      </c>
      <c r="J255" s="96">
        <v>0</v>
      </c>
      <c r="K255" s="152"/>
      <c r="L255" s="114">
        <v>92.2</v>
      </c>
      <c r="M255" s="68">
        <f>SUM(L255*D255)/1000</f>
        <v>0.46100000000000002</v>
      </c>
    </row>
    <row r="256" spans="1:13" x14ac:dyDescent="0.25">
      <c r="A256" s="782"/>
      <c r="B256" s="107"/>
      <c r="C256" s="107"/>
      <c r="D256" s="63"/>
      <c r="E256" s="63"/>
      <c r="F256" s="118">
        <f>SUM(F247:F255)</f>
        <v>11.151</v>
      </c>
      <c r="G256" s="118">
        <f>SUM(G247:G255)</f>
        <v>15.682000000000002</v>
      </c>
      <c r="H256" s="118">
        <f>SUM(H247:H255)</f>
        <v>7.4079999999999995</v>
      </c>
      <c r="I256" s="118">
        <f>SUM(I247:I255)</f>
        <v>215.964</v>
      </c>
      <c r="J256" s="119">
        <f>SUM(J247:J255)</f>
        <v>0.216</v>
      </c>
      <c r="K256" s="156"/>
      <c r="L256" s="79"/>
      <c r="M256" s="300">
        <f>SUM(M247:M255)</f>
        <v>28.217943999999999</v>
      </c>
    </row>
    <row r="257" spans="1:13" ht="30" x14ac:dyDescent="0.25">
      <c r="A257" s="782"/>
      <c r="B257" s="647" t="s">
        <v>143</v>
      </c>
      <c r="C257" s="124">
        <v>120</v>
      </c>
      <c r="D257" s="13"/>
      <c r="E257" s="13"/>
      <c r="F257" s="63"/>
      <c r="G257" s="63"/>
      <c r="H257" s="63"/>
      <c r="I257" s="63"/>
      <c r="J257" s="96"/>
      <c r="K257" s="125" t="s">
        <v>312</v>
      </c>
      <c r="L257" s="65"/>
      <c r="M257" s="64"/>
    </row>
    <row r="258" spans="1:13" x14ac:dyDescent="0.25">
      <c r="A258" s="782"/>
      <c r="B258" s="96" t="s">
        <v>144</v>
      </c>
      <c r="C258" s="96"/>
      <c r="D258" s="63">
        <v>40</v>
      </c>
      <c r="E258" s="63">
        <v>40</v>
      </c>
      <c r="F258" s="102">
        <v>7.28</v>
      </c>
      <c r="G258" s="63">
        <v>0.77</v>
      </c>
      <c r="H258" s="63">
        <v>48.79</v>
      </c>
      <c r="I258" s="63">
        <v>235.9</v>
      </c>
      <c r="J258" s="96">
        <v>0</v>
      </c>
      <c r="K258" s="125"/>
      <c r="L258" s="114">
        <v>21.89</v>
      </c>
      <c r="M258" s="68">
        <f>SUM(L258*D258)/1000</f>
        <v>0.87560000000000004</v>
      </c>
    </row>
    <row r="259" spans="1:13" x14ac:dyDescent="0.25">
      <c r="A259" s="782"/>
      <c r="B259" s="96" t="s">
        <v>112</v>
      </c>
      <c r="C259" s="96"/>
      <c r="D259" s="63">
        <v>2</v>
      </c>
      <c r="E259" s="63">
        <v>2</v>
      </c>
      <c r="F259" s="102">
        <v>0</v>
      </c>
      <c r="G259" s="63">
        <v>0</v>
      </c>
      <c r="H259" s="63">
        <v>0</v>
      </c>
      <c r="I259" s="63">
        <v>0</v>
      </c>
      <c r="J259" s="96">
        <v>0</v>
      </c>
      <c r="K259" s="125"/>
      <c r="L259" s="114">
        <v>43.22</v>
      </c>
      <c r="M259" s="68">
        <f>SUM(L259*D259)/1000</f>
        <v>8.6440000000000003E-2</v>
      </c>
    </row>
    <row r="260" spans="1:13" x14ac:dyDescent="0.25">
      <c r="A260" s="782"/>
      <c r="B260" s="116" t="s">
        <v>121</v>
      </c>
      <c r="C260" s="107"/>
      <c r="D260" s="141" t="s">
        <v>35</v>
      </c>
      <c r="E260" s="141">
        <v>114.5</v>
      </c>
      <c r="F260" s="63">
        <v>0</v>
      </c>
      <c r="G260" s="63">
        <v>0</v>
      </c>
      <c r="H260" s="102">
        <v>0</v>
      </c>
      <c r="I260" s="63">
        <v>0</v>
      </c>
      <c r="J260" s="96">
        <v>0</v>
      </c>
      <c r="K260" s="125"/>
      <c r="L260" s="144">
        <v>376.98</v>
      </c>
      <c r="M260" s="68" t="e">
        <f>SUM(L260*D260)/1000</f>
        <v>#VALUE!</v>
      </c>
    </row>
    <row r="261" spans="1:13" x14ac:dyDescent="0.25">
      <c r="A261" s="782"/>
      <c r="B261" s="101" t="s">
        <v>21</v>
      </c>
      <c r="C261" s="107"/>
      <c r="D261" s="63">
        <v>5</v>
      </c>
      <c r="E261" s="63">
        <v>5</v>
      </c>
      <c r="F261" s="99">
        <v>0.04</v>
      </c>
      <c r="G261" s="100">
        <v>3.625</v>
      </c>
      <c r="H261" s="63">
        <v>6.5000000000000002E-2</v>
      </c>
      <c r="I261" s="63">
        <v>33.049999999999997</v>
      </c>
      <c r="J261" s="96">
        <v>0</v>
      </c>
      <c r="K261" s="126"/>
      <c r="L261" s="114">
        <v>16.62</v>
      </c>
      <c r="M261" s="68">
        <v>0</v>
      </c>
    </row>
    <row r="262" spans="1:13" x14ac:dyDescent="0.25">
      <c r="A262" s="782"/>
      <c r="B262" s="116"/>
      <c r="C262" s="107"/>
      <c r="D262" s="63"/>
      <c r="E262" s="63"/>
      <c r="F262" s="118">
        <f>SUM(F258:F261)</f>
        <v>7.32</v>
      </c>
      <c r="G262" s="118">
        <f>SUM(G258:G261)</f>
        <v>4.3949999999999996</v>
      </c>
      <c r="H262" s="118">
        <f>SUM(H258:H261)</f>
        <v>48.854999999999997</v>
      </c>
      <c r="I262" s="118">
        <f>SUM(I258:I261)</f>
        <v>268.95</v>
      </c>
      <c r="J262" s="119">
        <f>SUM(J258:J261)</f>
        <v>0</v>
      </c>
      <c r="K262" s="156"/>
      <c r="L262" s="114"/>
      <c r="M262" s="68"/>
    </row>
    <row r="263" spans="1:13" x14ac:dyDescent="0.25">
      <c r="A263" s="782"/>
      <c r="B263" s="138" t="s">
        <v>180</v>
      </c>
      <c r="C263" s="124">
        <v>180</v>
      </c>
      <c r="D263" s="13"/>
      <c r="E263" s="13"/>
      <c r="F263" s="63"/>
      <c r="G263" s="63"/>
      <c r="H263" s="63"/>
      <c r="I263" s="63"/>
      <c r="J263" s="96"/>
      <c r="K263" s="108" t="s">
        <v>181</v>
      </c>
      <c r="L263" s="65"/>
      <c r="M263" s="64"/>
    </row>
    <row r="264" spans="1:13" ht="19.5" customHeight="1" x14ac:dyDescent="0.25">
      <c r="A264" s="782"/>
      <c r="B264" s="107" t="s">
        <v>182</v>
      </c>
      <c r="C264" s="107"/>
      <c r="D264" s="63">
        <v>18</v>
      </c>
      <c r="E264" s="63" t="s">
        <v>183</v>
      </c>
      <c r="F264" s="63">
        <v>0.93600000000000005</v>
      </c>
      <c r="G264" s="63">
        <v>5.3999999999999999E-2</v>
      </c>
      <c r="H264" s="63">
        <v>9.18</v>
      </c>
      <c r="I264" s="63">
        <v>41.76</v>
      </c>
      <c r="J264" s="96">
        <v>0.72</v>
      </c>
      <c r="K264" s="136"/>
      <c r="L264" s="114">
        <v>100</v>
      </c>
      <c r="M264" s="64">
        <f>SUM(L264*D264)/1000</f>
        <v>1.8</v>
      </c>
    </row>
    <row r="265" spans="1:13" x14ac:dyDescent="0.25">
      <c r="A265" s="782"/>
      <c r="B265" s="107" t="s">
        <v>38</v>
      </c>
      <c r="C265" s="107"/>
      <c r="D265" s="63">
        <v>14.4</v>
      </c>
      <c r="E265" s="63">
        <v>14.4</v>
      </c>
      <c r="F265" s="63">
        <v>0</v>
      </c>
      <c r="G265" s="63">
        <v>0</v>
      </c>
      <c r="H265" s="63">
        <v>14.371</v>
      </c>
      <c r="I265" s="63">
        <v>54.576000000000001</v>
      </c>
      <c r="J265" s="96">
        <v>0</v>
      </c>
      <c r="K265" s="136"/>
      <c r="L265" s="114">
        <v>50.7</v>
      </c>
      <c r="M265" s="68">
        <f>SUM(L265*D265)/1000</f>
        <v>0.73008000000000006</v>
      </c>
    </row>
    <row r="266" spans="1:13" x14ac:dyDescent="0.25">
      <c r="A266" s="782"/>
      <c r="B266" s="107" t="s">
        <v>19</v>
      </c>
      <c r="C266" s="107"/>
      <c r="D266" s="63">
        <v>182.7</v>
      </c>
      <c r="E266" s="63">
        <v>182.7</v>
      </c>
      <c r="F266" s="63">
        <v>0</v>
      </c>
      <c r="G266" s="63">
        <v>0</v>
      </c>
      <c r="H266" s="63">
        <v>0</v>
      </c>
      <c r="I266" s="63">
        <v>0</v>
      </c>
      <c r="J266" s="96">
        <v>0</v>
      </c>
      <c r="K266" s="136"/>
      <c r="L266" s="114">
        <v>0</v>
      </c>
      <c r="M266" s="64">
        <f>SUM(L266*D266)/1000</f>
        <v>0</v>
      </c>
    </row>
    <row r="267" spans="1:13" x14ac:dyDescent="0.25">
      <c r="A267" s="782"/>
      <c r="B267" s="107"/>
      <c r="C267" s="107"/>
      <c r="D267" s="63"/>
      <c r="E267" s="63"/>
      <c r="F267" s="118">
        <f>SUM(F264:F266)</f>
        <v>0.93600000000000005</v>
      </c>
      <c r="G267" s="118">
        <f t="shared" ref="G267:J267" si="9">SUM(G264:G266)</f>
        <v>5.3999999999999999E-2</v>
      </c>
      <c r="H267" s="118">
        <f t="shared" si="9"/>
        <v>23.551000000000002</v>
      </c>
      <c r="I267" s="118">
        <f t="shared" si="9"/>
        <v>96.335999999999999</v>
      </c>
      <c r="J267" s="118">
        <f t="shared" si="9"/>
        <v>0.72</v>
      </c>
      <c r="K267" s="153"/>
      <c r="L267" s="47"/>
      <c r="M267" s="72">
        <f>SUM(M264:M266)</f>
        <v>2.5300799999999999</v>
      </c>
    </row>
    <row r="268" spans="1:13" x14ac:dyDescent="0.25">
      <c r="A268" s="782"/>
      <c r="B268" s="647" t="s">
        <v>40</v>
      </c>
      <c r="C268" s="124">
        <v>40</v>
      </c>
      <c r="D268" s="63">
        <v>40</v>
      </c>
      <c r="E268" s="63">
        <v>40</v>
      </c>
      <c r="F268" s="118">
        <v>3.85</v>
      </c>
      <c r="G268" s="118">
        <v>1.5</v>
      </c>
      <c r="H268" s="118">
        <v>24.9</v>
      </c>
      <c r="I268" s="118">
        <v>131</v>
      </c>
      <c r="J268" s="139">
        <v>0</v>
      </c>
      <c r="K268" s="153" t="s">
        <v>73</v>
      </c>
      <c r="L268" s="114">
        <v>35</v>
      </c>
      <c r="M268" s="72">
        <f>SUM(L268*D268)/1000</f>
        <v>1.4</v>
      </c>
    </row>
    <row r="269" spans="1:13" x14ac:dyDescent="0.25">
      <c r="A269" s="783"/>
      <c r="B269" s="124" t="s">
        <v>74</v>
      </c>
      <c r="C269" s="124"/>
      <c r="D269" s="63"/>
      <c r="E269" s="63"/>
      <c r="F269" s="142">
        <f>F245+F256+F262+F267+F268</f>
        <v>27.979000000000003</v>
      </c>
      <c r="G269" s="142">
        <f>G245+G256+G262+G267+G268</f>
        <v>26.068999999999999</v>
      </c>
      <c r="H269" s="142">
        <f>H245+H256+H262+H267+H268</f>
        <v>120.708</v>
      </c>
      <c r="I269" s="142">
        <f>I245+I256+I262+I267+I268</f>
        <v>836.03</v>
      </c>
      <c r="J269" s="143">
        <f>J245+J256+J262+J267+J268</f>
        <v>10.236000000000001</v>
      </c>
      <c r="K269" s="158"/>
      <c r="L269" s="65"/>
      <c r="M269" s="71" t="e">
        <f>SUM(#REF!,M255,#REF!,M267:M268)</f>
        <v>#REF!</v>
      </c>
    </row>
    <row r="270" spans="1:13" ht="18" customHeight="1" x14ac:dyDescent="0.25">
      <c r="A270" s="5" t="s">
        <v>75</v>
      </c>
      <c r="B270" s="13"/>
      <c r="C270" s="4"/>
      <c r="D270" s="105"/>
      <c r="E270" s="106"/>
      <c r="F270" s="180"/>
      <c r="G270" s="180"/>
      <c r="H270" s="180"/>
      <c r="I270" s="180"/>
      <c r="J270" s="181"/>
      <c r="K270" s="182"/>
      <c r="L270" s="65"/>
      <c r="M270" s="64"/>
    </row>
    <row r="271" spans="1:13" ht="61.5" customHeight="1" x14ac:dyDescent="0.25">
      <c r="A271" s="781"/>
      <c r="B271" s="124" t="s">
        <v>360</v>
      </c>
      <c r="C271" s="124">
        <v>150</v>
      </c>
      <c r="D271" s="107"/>
      <c r="E271" s="107"/>
      <c r="F271" s="107">
        <f>SUM(F272:F274)</f>
        <v>13.669050000000002</v>
      </c>
      <c r="G271" s="107">
        <f>SUM(G272:G274)</f>
        <v>6.6736500000000003</v>
      </c>
      <c r="H271" s="107">
        <f>SUM(H272:H274)</f>
        <v>91.277100000000004</v>
      </c>
      <c r="I271" s="107">
        <f>SUM(I272:I274)</f>
        <v>488.97299999999996</v>
      </c>
      <c r="J271" s="107">
        <f>SUM(J272:J274)</f>
        <v>0</v>
      </c>
      <c r="K271" s="107" t="s">
        <v>93</v>
      </c>
      <c r="L271" s="65"/>
      <c r="M271" s="64"/>
    </row>
    <row r="272" spans="1:13" ht="45" x14ac:dyDescent="0.25">
      <c r="A272" s="782"/>
      <c r="B272" s="107" t="s">
        <v>361</v>
      </c>
      <c r="C272" s="107"/>
      <c r="D272" s="107">
        <v>132.15</v>
      </c>
      <c r="E272" s="107">
        <v>132.15</v>
      </c>
      <c r="F272" s="107">
        <f>10.3*E272/100</f>
        <v>13.611450000000001</v>
      </c>
      <c r="G272" s="107">
        <f>1.1*E272/100</f>
        <v>1.4536500000000001</v>
      </c>
      <c r="H272" s="107">
        <f>69*E272/100</f>
        <v>91.183500000000009</v>
      </c>
      <c r="I272" s="107">
        <f>334*E272/100</f>
        <v>441.38099999999997</v>
      </c>
      <c r="J272" s="124">
        <v>0</v>
      </c>
      <c r="K272" s="107"/>
      <c r="L272" s="233">
        <v>27</v>
      </c>
      <c r="M272" s="68">
        <f>SUM(L272*D272)/1000</f>
        <v>3.5680500000000004</v>
      </c>
    </row>
    <row r="273" spans="1:13" x14ac:dyDescent="0.25">
      <c r="A273" s="782"/>
      <c r="B273" s="107" t="s">
        <v>362</v>
      </c>
      <c r="C273" s="107"/>
      <c r="D273" s="107">
        <v>7.2</v>
      </c>
      <c r="E273" s="107">
        <v>7.2</v>
      </c>
      <c r="F273" s="107">
        <f>0.8*E273/100</f>
        <v>5.7600000000000005E-2</v>
      </c>
      <c r="G273" s="107">
        <f>72.5*E273/100</f>
        <v>5.22</v>
      </c>
      <c r="H273" s="107">
        <f>1.3*E273/100</f>
        <v>9.3600000000000017E-2</v>
      </c>
      <c r="I273" s="107">
        <f>661*E273/100</f>
        <v>47.591999999999999</v>
      </c>
      <c r="J273" s="107">
        <v>0</v>
      </c>
      <c r="K273" s="107"/>
      <c r="L273" s="233">
        <v>50</v>
      </c>
      <c r="M273" s="68">
        <f>SUM(L273*D273)/1000</f>
        <v>0.36</v>
      </c>
    </row>
    <row r="274" spans="1:13" x14ac:dyDescent="0.25">
      <c r="A274" s="782"/>
      <c r="B274" s="107" t="s">
        <v>231</v>
      </c>
      <c r="C274" s="107"/>
      <c r="D274" s="107">
        <v>0.75</v>
      </c>
      <c r="E274" s="107">
        <v>0.75</v>
      </c>
      <c r="F274" s="107">
        <v>0</v>
      </c>
      <c r="G274" s="107">
        <v>0</v>
      </c>
      <c r="H274" s="107">
        <v>0</v>
      </c>
      <c r="I274" s="107">
        <v>0</v>
      </c>
      <c r="J274" s="107">
        <v>0</v>
      </c>
      <c r="K274" s="107"/>
      <c r="L274" s="233">
        <v>310</v>
      </c>
      <c r="M274" s="68">
        <f>SUM(L274*D274)/1000</f>
        <v>0.23250000000000001</v>
      </c>
    </row>
    <row r="275" spans="1:13" ht="15" hidden="1" customHeight="1" x14ac:dyDescent="0.25">
      <c r="A275" s="782"/>
      <c r="B275" s="107"/>
      <c r="C275" s="107"/>
      <c r="D275" s="107"/>
      <c r="E275" s="107"/>
      <c r="F275" s="107">
        <f>SUM(F272:F274)</f>
        <v>13.669050000000002</v>
      </c>
      <c r="G275" s="107"/>
      <c r="H275" s="107">
        <f>SUM(H272:H274)</f>
        <v>91.277100000000004</v>
      </c>
      <c r="I275" s="107"/>
      <c r="J275" s="107"/>
      <c r="K275" s="107"/>
      <c r="L275" s="233"/>
      <c r="M275" s="68"/>
    </row>
    <row r="276" spans="1:13" ht="15" hidden="1" customHeight="1" x14ac:dyDescent="0.25">
      <c r="A276" s="782"/>
      <c r="B276" s="107"/>
      <c r="C276" s="107"/>
      <c r="D276" s="107"/>
      <c r="E276" s="107"/>
      <c r="F276" s="107"/>
      <c r="G276" s="107"/>
      <c r="H276" s="107"/>
      <c r="I276" s="107"/>
      <c r="J276" s="107"/>
      <c r="K276" s="107"/>
      <c r="L276" s="233"/>
      <c r="M276" s="68"/>
    </row>
    <row r="277" spans="1:13" ht="15" hidden="1" customHeight="1" x14ac:dyDescent="0.25">
      <c r="A277" s="782"/>
      <c r="B277" s="107"/>
      <c r="C277" s="107"/>
      <c r="D277" s="107"/>
      <c r="E277" s="107"/>
      <c r="F277" s="107"/>
      <c r="G277" s="107"/>
      <c r="H277" s="107"/>
      <c r="I277" s="107"/>
      <c r="J277" s="107"/>
      <c r="K277" s="107"/>
      <c r="L277" s="233"/>
      <c r="M277" s="68"/>
    </row>
    <row r="278" spans="1:13" ht="15" hidden="1" customHeight="1" x14ac:dyDescent="0.25">
      <c r="A278" s="782"/>
      <c r="B278" s="107"/>
      <c r="C278" s="107"/>
      <c r="D278" s="107"/>
      <c r="E278" s="107"/>
      <c r="F278" s="107"/>
      <c r="G278" s="107"/>
      <c r="H278" s="107"/>
      <c r="I278" s="107"/>
      <c r="J278" s="107"/>
      <c r="K278" s="107"/>
      <c r="L278" s="233"/>
      <c r="M278" s="68"/>
    </row>
    <row r="279" spans="1:13" ht="15" hidden="1" customHeight="1" x14ac:dyDescent="0.25">
      <c r="A279" s="782"/>
      <c r="B279" s="107"/>
      <c r="C279" s="107"/>
      <c r="D279" s="107"/>
      <c r="E279" s="107"/>
      <c r="F279" s="107"/>
      <c r="G279" s="107"/>
      <c r="H279" s="107"/>
      <c r="I279" s="107"/>
      <c r="J279" s="107"/>
      <c r="K279" s="107"/>
      <c r="L279" s="233"/>
      <c r="M279" s="68"/>
    </row>
    <row r="280" spans="1:13" ht="15" hidden="1" customHeight="1" x14ac:dyDescent="0.25">
      <c r="A280" s="782"/>
      <c r="B280" s="107"/>
      <c r="C280" s="107"/>
      <c r="D280" s="107"/>
      <c r="E280" s="107"/>
      <c r="F280" s="107"/>
      <c r="G280" s="107"/>
      <c r="H280" s="107"/>
      <c r="I280" s="107"/>
      <c r="J280" s="107"/>
      <c r="K280" s="107"/>
      <c r="L280" s="233"/>
      <c r="M280" s="68"/>
    </row>
    <row r="281" spans="1:13" ht="15" hidden="1" customHeight="1" x14ac:dyDescent="0.25">
      <c r="A281" s="782"/>
      <c r="B281" s="107"/>
      <c r="C281" s="107"/>
      <c r="D281" s="107"/>
      <c r="E281" s="107"/>
      <c r="F281" s="107"/>
      <c r="G281" s="107"/>
      <c r="H281" s="107"/>
      <c r="I281" s="107"/>
      <c r="J281" s="107"/>
      <c r="K281" s="107"/>
      <c r="L281" s="233"/>
      <c r="M281" s="68"/>
    </row>
    <row r="282" spans="1:13" ht="15" hidden="1" customHeight="1" x14ac:dyDescent="0.25">
      <c r="A282" s="782"/>
      <c r="B282" s="107"/>
      <c r="C282" s="107"/>
      <c r="D282" s="107"/>
      <c r="E282" s="107"/>
      <c r="F282" s="107"/>
      <c r="G282" s="107"/>
      <c r="H282" s="107"/>
      <c r="I282" s="107"/>
      <c r="J282" s="107"/>
      <c r="K282" s="107"/>
      <c r="L282" s="233"/>
      <c r="M282" s="68"/>
    </row>
    <row r="283" spans="1:13" ht="14.25" hidden="1" customHeight="1" x14ac:dyDescent="0.25">
      <c r="A283" s="782"/>
      <c r="B283" s="107"/>
      <c r="C283" s="107"/>
      <c r="D283" s="107"/>
      <c r="E283" s="107"/>
      <c r="F283" s="107"/>
      <c r="G283" s="107"/>
      <c r="H283" s="107"/>
      <c r="I283" s="107"/>
      <c r="J283" s="107"/>
      <c r="K283" s="107"/>
      <c r="L283" s="233"/>
      <c r="M283" s="68"/>
    </row>
    <row r="284" spans="1:13" ht="15" hidden="1" customHeight="1" x14ac:dyDescent="0.25">
      <c r="A284" s="782"/>
      <c r="B284" s="107"/>
      <c r="C284" s="107"/>
      <c r="D284" s="107"/>
      <c r="E284" s="107"/>
      <c r="F284" s="107"/>
      <c r="G284" s="107"/>
      <c r="H284" s="107"/>
      <c r="I284" s="107"/>
      <c r="J284" s="107"/>
      <c r="K284" s="107"/>
      <c r="L284" s="233"/>
      <c r="M284" s="68"/>
    </row>
    <row r="285" spans="1:13" ht="15" hidden="1" customHeight="1" x14ac:dyDescent="0.25">
      <c r="A285" s="782"/>
      <c r="B285" s="107"/>
      <c r="C285" s="107"/>
      <c r="D285" s="107"/>
      <c r="E285" s="107"/>
      <c r="F285" s="107"/>
      <c r="G285" s="107"/>
      <c r="H285" s="107"/>
      <c r="I285" s="107"/>
      <c r="J285" s="107"/>
      <c r="K285" s="107"/>
      <c r="L285" s="233"/>
      <c r="M285" s="68"/>
    </row>
    <row r="286" spans="1:13" ht="15" hidden="1" customHeight="1" x14ac:dyDescent="0.25">
      <c r="A286" s="782"/>
      <c r="B286" s="107"/>
      <c r="C286" s="107"/>
      <c r="D286" s="107"/>
      <c r="E286" s="107"/>
      <c r="F286" s="107"/>
      <c r="G286" s="107"/>
      <c r="H286" s="107"/>
      <c r="I286" s="107"/>
      <c r="J286" s="107"/>
      <c r="K286" s="107"/>
      <c r="L286" s="233"/>
      <c r="M286" s="68"/>
    </row>
    <row r="287" spans="1:13" ht="15" hidden="1" customHeight="1" x14ac:dyDescent="0.25">
      <c r="A287" s="782"/>
      <c r="B287" s="107"/>
      <c r="C287" s="107"/>
      <c r="D287" s="107"/>
      <c r="E287" s="107"/>
      <c r="F287" s="107"/>
      <c r="G287" s="107"/>
      <c r="H287" s="107"/>
      <c r="I287" s="107"/>
      <c r="J287" s="107"/>
      <c r="K287" s="107"/>
      <c r="L287" s="233"/>
      <c r="M287" s="68"/>
    </row>
    <row r="288" spans="1:13" ht="15" hidden="1" customHeight="1" x14ac:dyDescent="0.25">
      <c r="A288" s="782"/>
      <c r="B288" s="107"/>
      <c r="C288" s="107"/>
      <c r="D288" s="107"/>
      <c r="E288" s="107"/>
      <c r="F288" s="107"/>
      <c r="G288" s="107"/>
      <c r="H288" s="107"/>
      <c r="I288" s="107"/>
      <c r="J288" s="107"/>
      <c r="K288" s="107"/>
      <c r="L288" s="233"/>
      <c r="M288" s="68"/>
    </row>
    <row r="289" spans="1:13" ht="15" hidden="1" customHeight="1" x14ac:dyDescent="0.25">
      <c r="A289" s="782"/>
      <c r="B289" s="107"/>
      <c r="C289" s="107"/>
      <c r="D289" s="107"/>
      <c r="E289" s="107"/>
      <c r="F289" s="107"/>
      <c r="G289" s="107"/>
      <c r="H289" s="107"/>
      <c r="I289" s="107"/>
      <c r="J289" s="107"/>
      <c r="K289" s="107"/>
      <c r="L289" s="65"/>
      <c r="M289" s="72"/>
    </row>
    <row r="290" spans="1:13" ht="15" hidden="1" customHeight="1" x14ac:dyDescent="0.25">
      <c r="A290" s="782"/>
      <c r="B290" s="107"/>
      <c r="C290" s="107"/>
      <c r="D290" s="107"/>
      <c r="E290" s="107"/>
      <c r="F290" s="107"/>
      <c r="G290" s="107"/>
      <c r="H290" s="107"/>
      <c r="I290" s="107"/>
      <c r="J290" s="107"/>
      <c r="K290" s="107"/>
      <c r="L290" s="65"/>
      <c r="M290" s="64">
        <f t="shared" ref="M290:M295" si="10">SUM(L290*D290)/1000</f>
        <v>0</v>
      </c>
    </row>
    <row r="291" spans="1:13" ht="15" hidden="1" customHeight="1" x14ac:dyDescent="0.25">
      <c r="A291" s="782"/>
      <c r="B291" s="107"/>
      <c r="C291" s="107"/>
      <c r="D291" s="107"/>
      <c r="E291" s="107"/>
      <c r="F291" s="107"/>
      <c r="G291" s="107"/>
      <c r="H291" s="107"/>
      <c r="I291" s="107"/>
      <c r="J291" s="107"/>
      <c r="K291" s="107"/>
      <c r="L291" s="65"/>
      <c r="M291" s="64">
        <f t="shared" si="10"/>
        <v>0</v>
      </c>
    </row>
    <row r="292" spans="1:13" ht="15" hidden="1" customHeight="1" x14ac:dyDescent="0.25">
      <c r="A292" s="782"/>
      <c r="B292" s="107"/>
      <c r="C292" s="107"/>
      <c r="D292" s="107"/>
      <c r="E292" s="107"/>
      <c r="F292" s="107"/>
      <c r="G292" s="107"/>
      <c r="H292" s="107"/>
      <c r="I292" s="107"/>
      <c r="J292" s="107"/>
      <c r="K292" s="107"/>
      <c r="L292" s="65"/>
      <c r="M292" s="64">
        <f t="shared" si="10"/>
        <v>0</v>
      </c>
    </row>
    <row r="293" spans="1:13" ht="15" hidden="1" customHeight="1" x14ac:dyDescent="0.25">
      <c r="A293" s="782"/>
      <c r="B293" s="107"/>
      <c r="C293" s="107"/>
      <c r="D293" s="107"/>
      <c r="E293" s="107"/>
      <c r="F293" s="107"/>
      <c r="G293" s="107"/>
      <c r="H293" s="107"/>
      <c r="I293" s="107"/>
      <c r="J293" s="107"/>
      <c r="K293" s="107"/>
      <c r="L293" s="65"/>
      <c r="M293" s="64">
        <f t="shared" si="10"/>
        <v>0</v>
      </c>
    </row>
    <row r="294" spans="1:13" ht="15" hidden="1" customHeight="1" x14ac:dyDescent="0.25">
      <c r="A294" s="782"/>
      <c r="B294" s="107"/>
      <c r="C294" s="107"/>
      <c r="D294" s="107"/>
      <c r="E294" s="107"/>
      <c r="F294" s="107"/>
      <c r="G294" s="107"/>
      <c r="H294" s="107"/>
      <c r="I294" s="107"/>
      <c r="J294" s="107"/>
      <c r="K294" s="107"/>
      <c r="L294" s="65"/>
      <c r="M294" s="64">
        <f t="shared" si="10"/>
        <v>0</v>
      </c>
    </row>
    <row r="295" spans="1:13" ht="15" hidden="1" customHeight="1" x14ac:dyDescent="0.25">
      <c r="A295" s="782"/>
      <c r="B295" s="107" t="s">
        <v>184</v>
      </c>
      <c r="C295" s="107"/>
      <c r="D295" s="107">
        <v>30</v>
      </c>
      <c r="E295" s="107">
        <v>30</v>
      </c>
      <c r="F295" s="107"/>
      <c r="G295" s="107"/>
      <c r="H295" s="107"/>
      <c r="I295" s="107"/>
      <c r="J295" s="107"/>
      <c r="K295" s="107"/>
      <c r="L295" s="65"/>
      <c r="M295" s="64">
        <f t="shared" si="10"/>
        <v>0</v>
      </c>
    </row>
    <row r="296" spans="1:13" ht="15" customHeight="1" x14ac:dyDescent="0.25">
      <c r="A296" s="782"/>
      <c r="B296" s="107"/>
      <c r="C296" s="107"/>
      <c r="D296" s="107"/>
      <c r="E296" s="107"/>
      <c r="F296" s="206">
        <v>13.66905</v>
      </c>
      <c r="G296" s="206">
        <v>6.6736500000000003</v>
      </c>
      <c r="H296" s="206">
        <v>91.183499999999995</v>
      </c>
      <c r="I296" s="206">
        <v>488.97300000000001</v>
      </c>
      <c r="J296" s="206">
        <v>0</v>
      </c>
      <c r="K296" s="107"/>
      <c r="L296" s="65"/>
      <c r="M296" s="64"/>
    </row>
    <row r="297" spans="1:13" x14ac:dyDescent="0.25">
      <c r="A297" s="782"/>
      <c r="B297" s="124" t="s">
        <v>72</v>
      </c>
      <c r="C297" s="124" t="s">
        <v>187</v>
      </c>
      <c r="D297" s="107"/>
      <c r="E297" s="107"/>
      <c r="F297" s="107"/>
      <c r="G297" s="107"/>
      <c r="H297" s="107"/>
      <c r="I297" s="107"/>
      <c r="J297" s="107"/>
      <c r="K297" s="107" t="s">
        <v>188</v>
      </c>
      <c r="L297" s="114"/>
      <c r="M297" s="64"/>
    </row>
    <row r="298" spans="1:13" x14ac:dyDescent="0.25">
      <c r="A298" s="782"/>
      <c r="B298" s="107" t="s">
        <v>184</v>
      </c>
      <c r="C298" s="107"/>
      <c r="D298" s="107">
        <v>30</v>
      </c>
      <c r="E298" s="107">
        <v>30</v>
      </c>
      <c r="F298" s="107"/>
      <c r="G298" s="107"/>
      <c r="H298" s="107"/>
      <c r="I298" s="107"/>
      <c r="J298" s="107"/>
      <c r="K298" s="107"/>
      <c r="L298" s="114"/>
      <c r="M298" s="64"/>
    </row>
    <row r="299" spans="1:13" x14ac:dyDescent="0.25">
      <c r="A299" s="782"/>
      <c r="B299" s="107" t="s">
        <v>120</v>
      </c>
      <c r="C299" s="107"/>
      <c r="D299" s="107">
        <v>32.4</v>
      </c>
      <c r="E299" s="107">
        <v>32.4</v>
      </c>
      <c r="F299" s="107">
        <v>0</v>
      </c>
      <c r="G299" s="107">
        <v>0</v>
      </c>
      <c r="H299" s="107">
        <v>0</v>
      </c>
      <c r="I299" s="107">
        <v>0</v>
      </c>
      <c r="J299" s="107">
        <v>0</v>
      </c>
      <c r="K299" s="107"/>
      <c r="L299" s="114">
        <v>0</v>
      </c>
      <c r="M299" s="64">
        <f>SUM(L299*D299)/1000</f>
        <v>0</v>
      </c>
    </row>
    <row r="300" spans="1:13" x14ac:dyDescent="0.25">
      <c r="A300" s="782"/>
      <c r="B300" s="107" t="s">
        <v>185</v>
      </c>
      <c r="C300" s="107"/>
      <c r="D300" s="107">
        <v>0.3</v>
      </c>
      <c r="E300" s="107">
        <v>0.3</v>
      </c>
      <c r="F300" s="107">
        <v>0.06</v>
      </c>
      <c r="G300" s="107">
        <v>0</v>
      </c>
      <c r="H300" s="107">
        <v>2.07E-2</v>
      </c>
      <c r="I300" s="107">
        <v>0.45540000000000003</v>
      </c>
      <c r="J300" s="107">
        <v>0.03</v>
      </c>
      <c r="K300" s="107"/>
      <c r="L300" s="114">
        <v>375</v>
      </c>
      <c r="M300" s="64">
        <f>SUM(L300*D300)/1000</f>
        <v>0.1125</v>
      </c>
    </row>
    <row r="301" spans="1:13" x14ac:dyDescent="0.25">
      <c r="A301" s="782"/>
      <c r="B301" s="107" t="s">
        <v>49</v>
      </c>
      <c r="C301" s="107"/>
      <c r="D301" s="107">
        <v>10</v>
      </c>
      <c r="E301" s="107">
        <v>10</v>
      </c>
      <c r="F301" s="107">
        <v>0</v>
      </c>
      <c r="G301" s="107">
        <v>0</v>
      </c>
      <c r="H301" s="107">
        <v>9.98</v>
      </c>
      <c r="I301" s="107">
        <v>37.9</v>
      </c>
      <c r="J301" s="107">
        <v>0</v>
      </c>
      <c r="K301" s="107"/>
      <c r="L301" s="114">
        <v>50</v>
      </c>
      <c r="M301" s="64">
        <f>SUM(L301*D301)/1000</f>
        <v>0.5</v>
      </c>
    </row>
    <row r="302" spans="1:13" x14ac:dyDescent="0.25">
      <c r="A302" s="782"/>
      <c r="B302" s="107"/>
      <c r="C302" s="107"/>
      <c r="D302" s="107"/>
      <c r="E302" s="107"/>
      <c r="F302" s="206">
        <f>SUM(F298:F301)</f>
        <v>0.06</v>
      </c>
      <c r="G302" s="206">
        <f t="shared" ref="G302:J302" si="11">SUM(G298:G301)</f>
        <v>0</v>
      </c>
      <c r="H302" s="206">
        <f t="shared" si="11"/>
        <v>10.0007</v>
      </c>
      <c r="I302" s="206">
        <f t="shared" si="11"/>
        <v>38.355399999999996</v>
      </c>
      <c r="J302" s="206">
        <f t="shared" si="11"/>
        <v>0.03</v>
      </c>
      <c r="K302" s="107"/>
      <c r="L302" s="65"/>
      <c r="M302" s="72">
        <f>SUM(M297:M301)</f>
        <v>0.61250000000000004</v>
      </c>
    </row>
    <row r="303" spans="1:13" x14ac:dyDescent="0.25">
      <c r="A303" s="783"/>
      <c r="B303" s="124" t="s">
        <v>46</v>
      </c>
      <c r="C303" s="107"/>
      <c r="D303" s="107"/>
      <c r="E303" s="107"/>
      <c r="F303" s="715">
        <f>F296+F302</f>
        <v>13.729050000000001</v>
      </c>
      <c r="G303" s="715">
        <f>G296+G302</f>
        <v>6.6736500000000003</v>
      </c>
      <c r="H303" s="715">
        <f>H296+H302</f>
        <v>101.18419999999999</v>
      </c>
      <c r="I303" s="715">
        <f>I296+I302</f>
        <v>527.32839999999999</v>
      </c>
      <c r="J303" s="715">
        <f>J296+J302</f>
        <v>0.03</v>
      </c>
      <c r="K303" s="107"/>
      <c r="L303" s="65"/>
      <c r="M303" s="71">
        <f>SUM(M289,M302)</f>
        <v>0.61250000000000004</v>
      </c>
    </row>
    <row r="304" spans="1:13" hidden="1" x14ac:dyDescent="0.25">
      <c r="A304" s="20"/>
      <c r="B304" s="52"/>
      <c r="C304" s="107"/>
      <c r="D304" s="107"/>
      <c r="E304" s="107"/>
      <c r="F304" s="124"/>
      <c r="G304" s="124"/>
      <c r="H304" s="124"/>
      <c r="I304" s="124"/>
      <c r="J304" s="124"/>
      <c r="K304" s="107"/>
      <c r="L304" s="65"/>
      <c r="M304" s="64"/>
    </row>
    <row r="305" spans="1:13" ht="15" hidden="1" customHeight="1" x14ac:dyDescent="0.25">
      <c r="A305" s="5"/>
      <c r="B305" s="647"/>
      <c r="C305" s="107"/>
      <c r="D305" s="107"/>
      <c r="E305" s="107"/>
      <c r="F305" s="124"/>
      <c r="G305" s="124"/>
      <c r="H305" s="124"/>
      <c r="I305" s="124"/>
      <c r="J305" s="124"/>
      <c r="K305" s="107"/>
      <c r="L305" s="114"/>
      <c r="M305" s="64"/>
    </row>
    <row r="306" spans="1:13" ht="15" hidden="1" customHeight="1" x14ac:dyDescent="0.25">
      <c r="A306" s="5"/>
      <c r="B306" s="107"/>
      <c r="C306" s="107"/>
      <c r="D306" s="107"/>
      <c r="E306" s="107"/>
      <c r="F306" s="124"/>
      <c r="G306" s="124"/>
      <c r="H306" s="124"/>
      <c r="I306" s="124"/>
      <c r="J306" s="124"/>
      <c r="K306" s="107"/>
      <c r="L306" s="114"/>
      <c r="M306" s="68"/>
    </row>
    <row r="307" spans="1:13" ht="15" hidden="1" customHeight="1" x14ac:dyDescent="0.25">
      <c r="A307" s="5"/>
      <c r="B307" s="107"/>
      <c r="C307" s="107"/>
      <c r="D307" s="107"/>
      <c r="E307" s="107"/>
      <c r="F307" s="124"/>
      <c r="G307" s="124"/>
      <c r="H307" s="124"/>
      <c r="I307" s="124"/>
      <c r="J307" s="124"/>
      <c r="K307" s="107"/>
      <c r="L307" s="114"/>
      <c r="M307" s="68"/>
    </row>
    <row r="308" spans="1:13" ht="15" hidden="1" customHeight="1" x14ac:dyDescent="0.25">
      <c r="A308" s="5"/>
      <c r="B308" s="107"/>
      <c r="C308" s="107"/>
      <c r="D308" s="107"/>
      <c r="E308" s="107"/>
      <c r="F308" s="124"/>
      <c r="G308" s="124"/>
      <c r="H308" s="124"/>
      <c r="I308" s="124"/>
      <c r="J308" s="124"/>
      <c r="K308" s="107"/>
      <c r="L308" s="65"/>
      <c r="M308" s="72"/>
    </row>
    <row r="309" spans="1:13" ht="15" hidden="1" customHeight="1" x14ac:dyDescent="0.25">
      <c r="A309" s="5"/>
      <c r="B309" s="647"/>
      <c r="C309" s="107"/>
      <c r="D309" s="107"/>
      <c r="E309" s="107"/>
      <c r="F309" s="124"/>
      <c r="G309" s="124"/>
      <c r="H309" s="124"/>
      <c r="I309" s="124"/>
      <c r="J309" s="124"/>
      <c r="K309" s="107"/>
      <c r="L309" s="65"/>
      <c r="M309" s="89"/>
    </row>
    <row r="310" spans="1:13" ht="15" hidden="1" customHeight="1" x14ac:dyDescent="0.25">
      <c r="A310" s="5"/>
      <c r="B310" s="107"/>
      <c r="C310" s="107"/>
      <c r="D310" s="107"/>
      <c r="E310" s="107"/>
      <c r="F310" s="124"/>
      <c r="G310" s="124"/>
      <c r="H310" s="124"/>
      <c r="I310" s="124"/>
      <c r="J310" s="124"/>
      <c r="K310" s="107"/>
      <c r="L310" s="114"/>
      <c r="M310" s="68"/>
    </row>
    <row r="311" spans="1:13" ht="15" hidden="1" customHeight="1" x14ac:dyDescent="0.25">
      <c r="A311" s="5"/>
      <c r="B311" s="107"/>
      <c r="C311" s="107"/>
      <c r="D311" s="107"/>
      <c r="E311" s="107"/>
      <c r="F311" s="124"/>
      <c r="G311" s="124"/>
      <c r="H311" s="124"/>
      <c r="I311" s="124"/>
      <c r="J311" s="124"/>
      <c r="K311" s="107"/>
      <c r="L311" s="114"/>
      <c r="M311" s="68"/>
    </row>
    <row r="312" spans="1:13" ht="15" hidden="1" customHeight="1" x14ac:dyDescent="0.25">
      <c r="A312" s="5"/>
      <c r="B312" s="107"/>
      <c r="C312" s="107"/>
      <c r="D312" s="107"/>
      <c r="E312" s="107"/>
      <c r="F312" s="124"/>
      <c r="G312" s="124"/>
      <c r="H312" s="124"/>
      <c r="I312" s="124"/>
      <c r="J312" s="124"/>
      <c r="K312" s="107"/>
      <c r="L312" s="114"/>
      <c r="M312" s="68"/>
    </row>
    <row r="313" spans="1:13" ht="15" hidden="1" customHeight="1" x14ac:dyDescent="0.25">
      <c r="A313" s="5"/>
      <c r="B313" s="107"/>
      <c r="C313" s="107"/>
      <c r="D313" s="107"/>
      <c r="E313" s="107"/>
      <c r="F313" s="124"/>
      <c r="G313" s="124"/>
      <c r="H313" s="124"/>
      <c r="I313" s="124"/>
      <c r="J313" s="124"/>
      <c r="K313" s="107"/>
      <c r="L313" s="114"/>
      <c r="M313" s="68"/>
    </row>
    <row r="314" spans="1:13" ht="15" hidden="1" customHeight="1" x14ac:dyDescent="0.25">
      <c r="A314" s="5"/>
      <c r="B314" s="107"/>
      <c r="C314" s="107"/>
      <c r="D314" s="107"/>
      <c r="E314" s="107"/>
      <c r="F314" s="124"/>
      <c r="G314" s="124"/>
      <c r="H314" s="124"/>
      <c r="I314" s="124"/>
      <c r="J314" s="124"/>
      <c r="K314" s="107"/>
      <c r="L314" s="65"/>
      <c r="M314" s="72"/>
    </row>
    <row r="315" spans="1:13" hidden="1" x14ac:dyDescent="0.25">
      <c r="A315" s="5"/>
      <c r="B315" s="124"/>
      <c r="C315" s="107"/>
      <c r="D315" s="107"/>
      <c r="E315" s="107"/>
      <c r="F315" s="124"/>
      <c r="G315" s="124"/>
      <c r="H315" s="124"/>
      <c r="I315" s="124"/>
      <c r="J315" s="124"/>
      <c r="K315" s="107"/>
      <c r="L315" s="65"/>
      <c r="M315" s="71"/>
    </row>
    <row r="316" spans="1:13" ht="25.5" x14ac:dyDescent="0.25">
      <c r="A316" s="554" t="s">
        <v>101</v>
      </c>
      <c r="B316" s="146"/>
      <c r="C316" s="107"/>
      <c r="D316" s="107"/>
      <c r="E316" s="107"/>
      <c r="F316" s="716">
        <f>F221+F269+F303</f>
        <v>41.70805</v>
      </c>
      <c r="G316" s="716">
        <f>G221+G269+G303</f>
        <v>32.742649999999998</v>
      </c>
      <c r="H316" s="716">
        <f>H221+H269+H303</f>
        <v>221.8922</v>
      </c>
      <c r="I316" s="716">
        <f>I221+I269+I303</f>
        <v>1363.3584000000001</v>
      </c>
      <c r="J316" s="716">
        <f>J221+J269+J303</f>
        <v>10.266</v>
      </c>
      <c r="K316" s="107"/>
      <c r="L316" s="74"/>
      <c r="M316" s="80" t="e">
        <f>SUM(M226,M269,M303,M315)</f>
        <v>#REF!</v>
      </c>
    </row>
    <row r="317" spans="1:13" x14ac:dyDescent="0.25">
      <c r="A317" s="25" t="s">
        <v>102</v>
      </c>
      <c r="B317" s="25"/>
      <c r="C317" s="52"/>
      <c r="D317" s="51"/>
      <c r="E317" s="51"/>
      <c r="F317" s="51"/>
      <c r="G317" s="51"/>
      <c r="H317" s="51"/>
      <c r="I317" s="51"/>
      <c r="J317" s="53"/>
      <c r="K317" s="126"/>
      <c r="L317" s="65"/>
      <c r="M317" s="64"/>
    </row>
    <row r="318" spans="1:13" x14ac:dyDescent="0.25">
      <c r="A318" s="26" t="s">
        <v>16</v>
      </c>
      <c r="B318" s="25"/>
      <c r="C318" s="179"/>
      <c r="D318" s="166"/>
      <c r="E318" s="167"/>
      <c r="F318" s="51"/>
      <c r="G318" s="51"/>
      <c r="H318" s="51"/>
      <c r="I318" s="51"/>
      <c r="J318" s="53"/>
      <c r="K318" s="126"/>
      <c r="L318" s="65"/>
      <c r="M318" s="64"/>
    </row>
    <row r="319" spans="1:13" ht="15" customHeight="1" x14ac:dyDescent="0.25">
      <c r="A319" s="781"/>
      <c r="B319" s="442" t="s">
        <v>193</v>
      </c>
      <c r="C319" s="124">
        <v>180</v>
      </c>
      <c r="D319" s="13"/>
      <c r="E319" s="13"/>
      <c r="F319" s="63"/>
      <c r="G319" s="63"/>
      <c r="H319" s="63"/>
      <c r="I319" s="63"/>
      <c r="J319" s="96"/>
      <c r="K319" s="125" t="s">
        <v>194</v>
      </c>
      <c r="L319" s="65"/>
      <c r="M319" s="64"/>
    </row>
    <row r="320" spans="1:13" x14ac:dyDescent="0.25">
      <c r="A320" s="782"/>
      <c r="B320" s="173" t="s">
        <v>44</v>
      </c>
      <c r="C320" s="63"/>
      <c r="D320" s="63">
        <v>126</v>
      </c>
      <c r="E320" s="161">
        <v>126</v>
      </c>
      <c r="F320" s="323">
        <v>3.528</v>
      </c>
      <c r="G320" s="63">
        <v>4.032</v>
      </c>
      <c r="H320" s="63">
        <v>5.9219999999999997</v>
      </c>
      <c r="I320" s="161">
        <v>73.08</v>
      </c>
      <c r="J320" s="96">
        <v>1.6379999999999999</v>
      </c>
      <c r="K320" s="126"/>
      <c r="L320" s="114">
        <v>43.22</v>
      </c>
      <c r="M320" s="68">
        <f>SUM(L320*D421)/1000</f>
        <v>1.6423599999999998</v>
      </c>
    </row>
    <row r="321" spans="1:13" x14ac:dyDescent="0.25">
      <c r="A321" s="782"/>
      <c r="B321" s="173" t="s">
        <v>120</v>
      </c>
      <c r="C321" s="63"/>
      <c r="D321" s="63">
        <v>54</v>
      </c>
      <c r="E321" s="63">
        <v>54</v>
      </c>
      <c r="F321" s="675">
        <v>0</v>
      </c>
      <c r="G321" s="63">
        <v>0</v>
      </c>
      <c r="H321" s="63">
        <v>0</v>
      </c>
      <c r="I321" s="63">
        <v>0</v>
      </c>
      <c r="J321" s="96">
        <v>0</v>
      </c>
      <c r="K321" s="126"/>
      <c r="L321" s="114">
        <v>0</v>
      </c>
      <c r="M321" s="68">
        <f>SUM(L321*D422)/1000</f>
        <v>0</v>
      </c>
    </row>
    <row r="322" spans="1:13" x14ac:dyDescent="0.25">
      <c r="A322" s="782"/>
      <c r="B322" s="173" t="s">
        <v>214</v>
      </c>
      <c r="C322" s="63"/>
      <c r="D322" s="63">
        <v>14.4</v>
      </c>
      <c r="E322" s="63">
        <v>14.4</v>
      </c>
      <c r="F322" s="323">
        <v>1.4970000000000001</v>
      </c>
      <c r="G322" s="63">
        <v>0.158</v>
      </c>
      <c r="H322" s="63">
        <v>10.036</v>
      </c>
      <c r="I322" s="63">
        <v>48.527999999999999</v>
      </c>
      <c r="J322" s="96">
        <v>0</v>
      </c>
      <c r="K322" s="126"/>
      <c r="L322" s="114">
        <v>55.45</v>
      </c>
      <c r="M322" s="68">
        <f>SUM(L322*D423)/1000</f>
        <v>0.83174999999999999</v>
      </c>
    </row>
    <row r="323" spans="1:13" x14ac:dyDescent="0.25">
      <c r="A323" s="782"/>
      <c r="B323" s="173" t="s">
        <v>20</v>
      </c>
      <c r="C323" s="63"/>
      <c r="D323" s="63">
        <v>1.44</v>
      </c>
      <c r="E323" s="63">
        <v>1.44</v>
      </c>
      <c r="F323" s="675">
        <v>0</v>
      </c>
      <c r="G323" s="63">
        <v>0</v>
      </c>
      <c r="H323" s="63">
        <v>1.4370000000000001</v>
      </c>
      <c r="I323" s="63">
        <v>5.306</v>
      </c>
      <c r="J323" s="96">
        <v>0</v>
      </c>
      <c r="K323" s="126"/>
      <c r="L323" s="144">
        <v>376.98</v>
      </c>
      <c r="M323" s="68">
        <f>SUM(L323*D424)/1000</f>
        <v>0.11309400000000001</v>
      </c>
    </row>
    <row r="324" spans="1:13" x14ac:dyDescent="0.25">
      <c r="A324" s="782"/>
      <c r="B324" s="173" t="s">
        <v>112</v>
      </c>
      <c r="C324" s="63"/>
      <c r="D324" s="63">
        <v>0.27</v>
      </c>
      <c r="E324" s="63">
        <v>0.27</v>
      </c>
      <c r="F324" s="675">
        <v>0</v>
      </c>
      <c r="G324" s="63">
        <v>0</v>
      </c>
      <c r="H324" s="63">
        <v>0</v>
      </c>
      <c r="I324" s="63">
        <v>0</v>
      </c>
      <c r="J324" s="96">
        <v>0</v>
      </c>
      <c r="K324" s="126"/>
      <c r="L324" s="114">
        <v>50.7</v>
      </c>
      <c r="M324" s="68">
        <v>0</v>
      </c>
    </row>
    <row r="325" spans="1:13" ht="15" hidden="1" customHeight="1" x14ac:dyDescent="0.25">
      <c r="A325" s="782"/>
      <c r="B325" s="96"/>
      <c r="C325" s="96"/>
      <c r="D325" s="63"/>
      <c r="E325" s="63"/>
      <c r="F325" s="662">
        <f>SUM(F320:F324)</f>
        <v>5.0250000000000004</v>
      </c>
      <c r="G325" s="663">
        <f>SUM(G320:G324)</f>
        <v>4.1900000000000004</v>
      </c>
      <c r="H325" s="663">
        <f>SUM(H320:H324)</f>
        <v>17.395</v>
      </c>
      <c r="I325" s="663">
        <f>SUM(I320:I324)</f>
        <v>126.914</v>
      </c>
      <c r="J325" s="664">
        <f>SUM(J320:J324)</f>
        <v>1.6379999999999999</v>
      </c>
      <c r="K325" s="126"/>
      <c r="L325" s="114"/>
      <c r="M325" s="68"/>
    </row>
    <row r="326" spans="1:13" ht="15" hidden="1" customHeight="1" x14ac:dyDescent="0.25">
      <c r="A326" s="782"/>
      <c r="B326" s="96"/>
      <c r="C326" s="96"/>
      <c r="D326" s="63"/>
      <c r="E326" s="63"/>
      <c r="F326" s="59"/>
      <c r="G326" s="59"/>
      <c r="H326" s="59"/>
      <c r="I326" s="59"/>
      <c r="J326" s="191"/>
      <c r="K326" s="126"/>
      <c r="L326" s="114"/>
      <c r="M326" s="68"/>
    </row>
    <row r="327" spans="1:13" x14ac:dyDescent="0.25">
      <c r="A327" s="782"/>
      <c r="B327" s="96"/>
      <c r="C327" s="96"/>
      <c r="D327" s="63"/>
      <c r="E327" s="63"/>
      <c r="F327" s="324">
        <v>5.03</v>
      </c>
      <c r="G327" s="118">
        <v>4.1900000000000004</v>
      </c>
      <c r="H327" s="118">
        <v>17.395</v>
      </c>
      <c r="I327" s="118">
        <v>126.834</v>
      </c>
      <c r="J327" s="119">
        <f>SUM(J321:J326)</f>
        <v>1.6379999999999999</v>
      </c>
      <c r="K327" s="156"/>
      <c r="L327" s="65"/>
      <c r="M327" s="72">
        <f>SUM(M321:M326)</f>
        <v>0.94484400000000002</v>
      </c>
    </row>
    <row r="328" spans="1:13" x14ac:dyDescent="0.25">
      <c r="A328" s="782"/>
      <c r="B328" s="647" t="s">
        <v>115</v>
      </c>
      <c r="C328" s="124">
        <v>50</v>
      </c>
      <c r="D328" s="13"/>
      <c r="E328" s="13"/>
      <c r="F328" s="13"/>
      <c r="G328" s="13"/>
      <c r="H328" s="13"/>
      <c r="I328" s="13"/>
      <c r="J328" s="107"/>
      <c r="K328" s="125" t="s">
        <v>116</v>
      </c>
      <c r="L328" s="65"/>
      <c r="M328" s="68"/>
    </row>
    <row r="329" spans="1:13" x14ac:dyDescent="0.25">
      <c r="A329" s="782"/>
      <c r="B329" s="107" t="s">
        <v>106</v>
      </c>
      <c r="C329" s="107"/>
      <c r="D329" s="63">
        <v>30</v>
      </c>
      <c r="E329" s="63">
        <v>30</v>
      </c>
      <c r="F329" s="63">
        <v>2.31</v>
      </c>
      <c r="G329" s="63">
        <v>0.9</v>
      </c>
      <c r="H329" s="63">
        <v>14.94</v>
      </c>
      <c r="I329" s="63">
        <v>78.599999999999994</v>
      </c>
      <c r="J329" s="96">
        <v>0</v>
      </c>
      <c r="K329" s="126" t="s">
        <v>73</v>
      </c>
      <c r="L329" s="65">
        <v>50</v>
      </c>
      <c r="M329" s="68">
        <f>SUM(D329*L329)/1000</f>
        <v>1.5</v>
      </c>
    </row>
    <row r="330" spans="1:13" x14ac:dyDescent="0.25">
      <c r="A330" s="782"/>
      <c r="B330" s="107" t="s">
        <v>76</v>
      </c>
      <c r="C330" s="107"/>
      <c r="D330" s="63">
        <v>20.2</v>
      </c>
      <c r="E330" s="63">
        <v>20</v>
      </c>
      <c r="F330" s="63">
        <v>0.08</v>
      </c>
      <c r="G330" s="195">
        <v>0</v>
      </c>
      <c r="H330" s="63">
        <v>13.6</v>
      </c>
      <c r="I330" s="63">
        <v>52</v>
      </c>
      <c r="J330" s="96">
        <v>0.1</v>
      </c>
      <c r="K330" s="126"/>
      <c r="L330" s="65">
        <v>320.70999999999998</v>
      </c>
      <c r="M330" s="68">
        <f>SUM(L330*D330)/1000</f>
        <v>6.4783419999999996</v>
      </c>
    </row>
    <row r="331" spans="1:13" x14ac:dyDescent="0.25">
      <c r="A331" s="782"/>
      <c r="B331" s="107"/>
      <c r="C331" s="107"/>
      <c r="D331" s="63"/>
      <c r="E331" s="63"/>
      <c r="F331" s="118">
        <f>SUM(F329:F330)</f>
        <v>2.39</v>
      </c>
      <c r="G331" s="118">
        <f t="shared" ref="G331:J331" si="12">SUM(G329:G330)</f>
        <v>0.9</v>
      </c>
      <c r="H331" s="118">
        <f t="shared" si="12"/>
        <v>28.54</v>
      </c>
      <c r="I331" s="118">
        <f t="shared" si="12"/>
        <v>130.6</v>
      </c>
      <c r="J331" s="118">
        <f t="shared" si="12"/>
        <v>0.1</v>
      </c>
      <c r="K331" s="153"/>
      <c r="L331" s="65"/>
      <c r="M331" s="72">
        <f>SUM(M329:M330)</f>
        <v>7.9783419999999996</v>
      </c>
    </row>
    <row r="332" spans="1:13" x14ac:dyDescent="0.25">
      <c r="A332" s="782"/>
      <c r="B332" s="338" t="s">
        <v>56</v>
      </c>
      <c r="C332" s="504">
        <v>180</v>
      </c>
      <c r="D332" s="505"/>
      <c r="E332" s="505"/>
      <c r="F332" s="506"/>
      <c r="G332" s="506"/>
      <c r="H332" s="506"/>
      <c r="I332" s="506"/>
      <c r="J332" s="506"/>
      <c r="K332" s="507" t="s">
        <v>249</v>
      </c>
      <c r="L332" s="65"/>
      <c r="M332" s="82"/>
    </row>
    <row r="333" spans="1:13" x14ac:dyDescent="0.25">
      <c r="A333" s="782"/>
      <c r="B333" s="342" t="s">
        <v>250</v>
      </c>
      <c r="C333" s="343"/>
      <c r="D333" s="340">
        <v>3</v>
      </c>
      <c r="E333" s="340">
        <v>3</v>
      </c>
      <c r="F333" s="340">
        <f>15*E333/100</f>
        <v>0.45</v>
      </c>
      <c r="G333" s="340">
        <f>3.6*E333/100</f>
        <v>0.10800000000000001</v>
      </c>
      <c r="H333" s="340">
        <f>7*E333/100</f>
        <v>0.21</v>
      </c>
      <c r="I333" s="345">
        <f>118.7*E333/100</f>
        <v>3.5610000000000004</v>
      </c>
      <c r="J333" s="346">
        <v>0</v>
      </c>
      <c r="K333" s="480"/>
      <c r="L333" s="79"/>
      <c r="M333" s="64"/>
    </row>
    <row r="334" spans="1:13" x14ac:dyDescent="0.25">
      <c r="A334" s="782"/>
      <c r="B334" s="342" t="s">
        <v>229</v>
      </c>
      <c r="C334" s="343"/>
      <c r="D334" s="340">
        <v>108</v>
      </c>
      <c r="E334" s="340">
        <v>108</v>
      </c>
      <c r="F334" s="340">
        <v>0</v>
      </c>
      <c r="G334" s="340">
        <v>0</v>
      </c>
      <c r="H334" s="340">
        <v>0</v>
      </c>
      <c r="I334" s="345">
        <v>0</v>
      </c>
      <c r="J334" s="346">
        <v>0</v>
      </c>
      <c r="K334" s="480"/>
      <c r="L334" s="114">
        <v>0</v>
      </c>
      <c r="M334" s="68">
        <f>SUM(L334*D334)/1000</f>
        <v>0</v>
      </c>
    </row>
    <row r="335" spans="1:13" x14ac:dyDescent="0.25">
      <c r="A335" s="782"/>
      <c r="B335" s="342" t="s">
        <v>230</v>
      </c>
      <c r="C335" s="343"/>
      <c r="D335" s="340">
        <v>10</v>
      </c>
      <c r="E335" s="340">
        <v>10</v>
      </c>
      <c r="F335" s="340">
        <v>0</v>
      </c>
      <c r="G335" s="340">
        <v>0</v>
      </c>
      <c r="H335" s="340">
        <f>99.8*E335/100</f>
        <v>9.98</v>
      </c>
      <c r="I335" s="345">
        <f>379*E335/100</f>
        <v>37.9</v>
      </c>
      <c r="J335" s="346">
        <v>0</v>
      </c>
      <c r="K335" s="480"/>
      <c r="L335" s="114">
        <v>375</v>
      </c>
      <c r="M335" s="68">
        <f>SUM(L335*D335)/1000</f>
        <v>3.75</v>
      </c>
    </row>
    <row r="336" spans="1:13" x14ac:dyDescent="0.25">
      <c r="A336" s="782"/>
      <c r="B336" s="342" t="s">
        <v>228</v>
      </c>
      <c r="C336" s="343"/>
      <c r="D336" s="340">
        <v>90</v>
      </c>
      <c r="E336" s="340">
        <v>90</v>
      </c>
      <c r="F336" s="340">
        <v>2.8</v>
      </c>
      <c r="G336" s="340">
        <v>3.2</v>
      </c>
      <c r="H336" s="340">
        <v>4.7</v>
      </c>
      <c r="I336" s="345">
        <v>58</v>
      </c>
      <c r="J336" s="346">
        <v>1.3</v>
      </c>
      <c r="K336" s="480"/>
      <c r="L336" s="114">
        <v>50</v>
      </c>
      <c r="M336" s="68">
        <f>SUM(L336*D336)/1000</f>
        <v>4.5</v>
      </c>
    </row>
    <row r="337" spans="1:13" x14ac:dyDescent="0.25">
      <c r="A337" s="782"/>
      <c r="B337" s="678"/>
      <c r="C337" s="254"/>
      <c r="D337" s="187"/>
      <c r="E337" s="187"/>
      <c r="F337" s="130">
        <f>SUM(F333:F336)</f>
        <v>3.25</v>
      </c>
      <c r="G337" s="130">
        <f>SUM(G333:G336)</f>
        <v>3.3080000000000003</v>
      </c>
      <c r="H337" s="130">
        <f>SUM(H333:H336)</f>
        <v>14.89</v>
      </c>
      <c r="I337" s="130">
        <f>SUM(I333:I336)</f>
        <v>99.460999999999999</v>
      </c>
      <c r="J337" s="131">
        <f>SUM(J333:J336)</f>
        <v>1.3</v>
      </c>
      <c r="K337" s="158"/>
      <c r="L337" s="114">
        <v>0</v>
      </c>
      <c r="M337" s="68">
        <f>SUM(L337*D337)/1000</f>
        <v>0</v>
      </c>
    </row>
    <row r="338" spans="1:13" x14ac:dyDescent="0.25">
      <c r="A338" s="783"/>
      <c r="B338" s="107"/>
      <c r="C338" s="107"/>
      <c r="D338" s="63"/>
      <c r="E338" s="63"/>
      <c r="F338" s="734"/>
      <c r="G338" s="734"/>
      <c r="H338" s="734"/>
      <c r="I338" s="734"/>
      <c r="J338" s="766"/>
      <c r="K338" s="156"/>
      <c r="L338" s="65"/>
      <c r="M338" s="72">
        <f>SUM(M333:M337)</f>
        <v>8.25</v>
      </c>
    </row>
    <row r="339" spans="1:13" ht="15" hidden="1" customHeight="1" x14ac:dyDescent="0.25">
      <c r="A339" s="781"/>
      <c r="B339" s="138"/>
      <c r="C339" s="147"/>
      <c r="D339" s="100"/>
      <c r="E339" s="100"/>
      <c r="F339" s="148"/>
      <c r="G339" s="148"/>
      <c r="H339" s="148"/>
      <c r="I339" s="148"/>
      <c r="J339" s="149"/>
      <c r="K339" s="162"/>
      <c r="L339" s="65"/>
      <c r="M339" s="67"/>
    </row>
    <row r="340" spans="1:13" x14ac:dyDescent="0.25">
      <c r="A340" s="783"/>
      <c r="B340" s="197" t="s">
        <v>57</v>
      </c>
      <c r="C340" s="198"/>
      <c r="D340" s="63"/>
      <c r="E340" s="13"/>
      <c r="F340" s="717">
        <f>F327+F331+F338</f>
        <v>7.42</v>
      </c>
      <c r="G340" s="718">
        <f>G327+G331+G338</f>
        <v>5.0900000000000007</v>
      </c>
      <c r="H340" s="718">
        <f>H327+H331+H338</f>
        <v>45.935000000000002</v>
      </c>
      <c r="I340" s="718">
        <f>I327+I331+I338</f>
        <v>257.43399999999997</v>
      </c>
      <c r="J340" s="718">
        <f>J327+J331+J338</f>
        <v>1.738</v>
      </c>
      <c r="K340" s="162"/>
      <c r="L340" s="65"/>
      <c r="M340" s="71">
        <f>SUM(M327,M331,M338,M339)</f>
        <v>17.173186000000001</v>
      </c>
    </row>
    <row r="341" spans="1:13" ht="19.5" customHeight="1" x14ac:dyDescent="0.25">
      <c r="A341" s="739" t="s">
        <v>208</v>
      </c>
      <c r="B341" s="124" t="s">
        <v>206</v>
      </c>
      <c r="C341" s="124">
        <v>100</v>
      </c>
      <c r="D341" s="63">
        <v>100</v>
      </c>
      <c r="E341" s="63">
        <v>100</v>
      </c>
      <c r="F341" s="130">
        <v>1.5</v>
      </c>
      <c r="G341" s="130">
        <v>0.5</v>
      </c>
      <c r="H341" s="130">
        <v>21</v>
      </c>
      <c r="I341" s="130">
        <v>96</v>
      </c>
      <c r="J341" s="130">
        <v>10</v>
      </c>
      <c r="K341" s="162" t="s">
        <v>207</v>
      </c>
      <c r="L341" s="65">
        <v>73.69</v>
      </c>
      <c r="M341" s="69">
        <f>SUM(D341*L341)/1000</f>
        <v>7.3689999999999998</v>
      </c>
    </row>
    <row r="342" spans="1:13" x14ac:dyDescent="0.25">
      <c r="A342" s="27" t="s">
        <v>107</v>
      </c>
      <c r="B342" s="200"/>
      <c r="C342" s="13"/>
      <c r="D342" s="105"/>
      <c r="E342" s="106"/>
      <c r="F342" s="63"/>
      <c r="G342" s="63"/>
      <c r="H342" s="141"/>
      <c r="I342" s="141"/>
      <c r="J342" s="168"/>
      <c r="K342" s="126"/>
      <c r="L342" s="65"/>
      <c r="M342" s="64"/>
    </row>
    <row r="343" spans="1:13" ht="29.25" x14ac:dyDescent="0.25">
      <c r="A343" s="781"/>
      <c r="B343" s="351" t="s">
        <v>233</v>
      </c>
      <c r="C343" s="339">
        <v>200</v>
      </c>
      <c r="D343" s="352"/>
      <c r="E343" s="340"/>
      <c r="F343" s="341" t="s">
        <v>48</v>
      </c>
      <c r="G343" s="341" t="s">
        <v>48</v>
      </c>
      <c r="H343" s="341" t="s">
        <v>48</v>
      </c>
      <c r="I343" s="341" t="s">
        <v>48</v>
      </c>
      <c r="J343" s="341" t="s">
        <v>48</v>
      </c>
      <c r="K343" s="481" t="s">
        <v>157</v>
      </c>
      <c r="L343" s="65"/>
      <c r="M343" s="64"/>
    </row>
    <row r="344" spans="1:13" x14ac:dyDescent="0.25">
      <c r="A344" s="782"/>
      <c r="B344" s="353" t="s">
        <v>235</v>
      </c>
      <c r="C344" s="343"/>
      <c r="D344" s="340">
        <v>34</v>
      </c>
      <c r="E344" s="340">
        <v>27.3</v>
      </c>
      <c r="F344" s="340">
        <f>1.5*E344/100</f>
        <v>0.40950000000000003</v>
      </c>
      <c r="G344" s="340">
        <f>0.1*E344/100</f>
        <v>2.7300000000000005E-2</v>
      </c>
      <c r="H344" s="340">
        <f>8.8*E344/100</f>
        <v>2.4024000000000005</v>
      </c>
      <c r="I344" s="345">
        <f>42*E344/100</f>
        <v>11.466000000000001</v>
      </c>
      <c r="J344" s="346">
        <f>10*E344/100</f>
        <v>2.73</v>
      </c>
      <c r="K344" s="480"/>
      <c r="L344" s="114">
        <v>25.38</v>
      </c>
      <c r="M344" s="68">
        <f t="shared" ref="M344:M354" si="13">SUM(L344*D344)/1000</f>
        <v>0.86291999999999991</v>
      </c>
    </row>
    <row r="345" spans="1:13" x14ac:dyDescent="0.25">
      <c r="A345" s="782"/>
      <c r="B345" s="353" t="s">
        <v>236</v>
      </c>
      <c r="C345" s="343"/>
      <c r="D345" s="340">
        <v>17.3</v>
      </c>
      <c r="E345" s="340">
        <v>14</v>
      </c>
      <c r="F345" s="340">
        <f>1.8*E345/100</f>
        <v>0.252</v>
      </c>
      <c r="G345" s="340">
        <f>0.1*E345/100</f>
        <v>1.4000000000000002E-2</v>
      </c>
      <c r="H345" s="340">
        <f>4.7*E345/100</f>
        <v>0.65799999999999992</v>
      </c>
      <c r="I345" s="345">
        <f>28*E345/100</f>
        <v>3.92</v>
      </c>
      <c r="J345" s="346">
        <f>45*E345/100</f>
        <v>6.3</v>
      </c>
      <c r="K345" s="480"/>
      <c r="L345" s="114">
        <v>21.89</v>
      </c>
      <c r="M345" s="68">
        <f t="shared" si="13"/>
        <v>0.37869700000000001</v>
      </c>
    </row>
    <row r="346" spans="1:13" x14ac:dyDescent="0.25">
      <c r="A346" s="782"/>
      <c r="B346" s="353" t="s">
        <v>237</v>
      </c>
      <c r="C346" s="343"/>
      <c r="D346" s="340">
        <v>31.3</v>
      </c>
      <c r="E346" s="340">
        <v>23.3</v>
      </c>
      <c r="F346" s="340">
        <f>2*E346/100</f>
        <v>0.46600000000000003</v>
      </c>
      <c r="G346" s="340">
        <f>0.4*E346/100</f>
        <v>9.3200000000000005E-2</v>
      </c>
      <c r="H346" s="340">
        <f>16.3*E346/100</f>
        <v>3.7979000000000003</v>
      </c>
      <c r="I346" s="345">
        <f>77*E346/100</f>
        <v>17.941000000000003</v>
      </c>
      <c r="J346" s="346">
        <f>20*E346/100</f>
        <v>4.66</v>
      </c>
      <c r="K346" s="480"/>
      <c r="L346" s="114">
        <v>21.98</v>
      </c>
      <c r="M346" s="68">
        <f t="shared" si="13"/>
        <v>0.68797400000000009</v>
      </c>
    </row>
    <row r="347" spans="1:13" x14ac:dyDescent="0.25">
      <c r="A347" s="782"/>
      <c r="B347" s="353" t="s">
        <v>238</v>
      </c>
      <c r="C347" s="343"/>
      <c r="D347" s="340">
        <v>13.3</v>
      </c>
      <c r="E347" s="340">
        <v>10</v>
      </c>
      <c r="F347" s="340">
        <f>1.3*E347/100</f>
        <v>0.13</v>
      </c>
      <c r="G347" s="340">
        <v>0</v>
      </c>
      <c r="H347" s="340">
        <f>6.9*E347/100</f>
        <v>0.69</v>
      </c>
      <c r="I347" s="345">
        <f>35*E347/100</f>
        <v>3.5</v>
      </c>
      <c r="J347" s="346">
        <f>5*E347/100</f>
        <v>0.5</v>
      </c>
      <c r="K347" s="480"/>
      <c r="L347" s="114">
        <v>38.5</v>
      </c>
      <c r="M347" s="68">
        <f t="shared" si="13"/>
        <v>0.51205000000000012</v>
      </c>
    </row>
    <row r="348" spans="1:13" x14ac:dyDescent="0.25">
      <c r="A348" s="782"/>
      <c r="B348" s="353" t="s">
        <v>239</v>
      </c>
      <c r="C348" s="354"/>
      <c r="D348" s="340">
        <v>10</v>
      </c>
      <c r="E348" s="340">
        <v>8</v>
      </c>
      <c r="F348" s="340">
        <f>1.4*E348/100</f>
        <v>0.11199999999999999</v>
      </c>
      <c r="G348" s="340">
        <v>0</v>
      </c>
      <c r="H348" s="340">
        <f>8.2*E348/100</f>
        <v>0.65599999999999992</v>
      </c>
      <c r="I348" s="345">
        <f>41*E348/100</f>
        <v>3.28</v>
      </c>
      <c r="J348" s="346">
        <f>10*E348/100</f>
        <v>0.8</v>
      </c>
      <c r="K348" s="480"/>
      <c r="L348" s="114">
        <v>120</v>
      </c>
      <c r="M348" s="68">
        <f t="shared" si="13"/>
        <v>1.2</v>
      </c>
    </row>
    <row r="349" spans="1:13" x14ac:dyDescent="0.25">
      <c r="A349" s="782"/>
      <c r="B349" s="353" t="s">
        <v>240</v>
      </c>
      <c r="C349" s="343"/>
      <c r="D349" s="340">
        <v>2.7</v>
      </c>
      <c r="E349" s="340">
        <v>2.7</v>
      </c>
      <c r="F349" s="340">
        <f>4.8*E349/100</f>
        <v>0.12960000000000002</v>
      </c>
      <c r="G349" s="340">
        <v>0</v>
      </c>
      <c r="H349" s="340">
        <f>19*E349/100</f>
        <v>0.51300000000000001</v>
      </c>
      <c r="I349" s="345">
        <f>102*E349/100</f>
        <v>2.7540000000000004</v>
      </c>
      <c r="J349" s="346">
        <f>45*E349/100</f>
        <v>1.2150000000000001</v>
      </c>
      <c r="K349" s="480"/>
      <c r="L349" s="114">
        <v>92.2</v>
      </c>
      <c r="M349" s="68">
        <f t="shared" si="13"/>
        <v>0.24894000000000002</v>
      </c>
    </row>
    <row r="350" spans="1:13" x14ac:dyDescent="0.25">
      <c r="A350" s="782"/>
      <c r="B350" s="353" t="s">
        <v>241</v>
      </c>
      <c r="C350" s="343"/>
      <c r="D350" s="340">
        <v>4</v>
      </c>
      <c r="E350" s="340">
        <v>4</v>
      </c>
      <c r="F350" s="340">
        <v>0</v>
      </c>
      <c r="G350" s="340">
        <f>99.9*E350/100</f>
        <v>3.9960000000000004</v>
      </c>
      <c r="H350" s="355">
        <v>0</v>
      </c>
      <c r="I350" s="356">
        <f>899*E350/100</f>
        <v>35.96</v>
      </c>
      <c r="J350" s="346">
        <v>0</v>
      </c>
      <c r="K350" s="480"/>
      <c r="L350" s="114">
        <v>50.7</v>
      </c>
      <c r="M350" s="68">
        <f t="shared" si="13"/>
        <v>0.20280000000000001</v>
      </c>
    </row>
    <row r="351" spans="1:13" x14ac:dyDescent="0.25">
      <c r="A351" s="782"/>
      <c r="B351" s="353" t="s">
        <v>230</v>
      </c>
      <c r="C351" s="339"/>
      <c r="D351" s="340">
        <v>2</v>
      </c>
      <c r="E351" s="340">
        <v>2</v>
      </c>
      <c r="F351" s="340">
        <v>0</v>
      </c>
      <c r="G351" s="340">
        <v>0</v>
      </c>
      <c r="H351" s="340">
        <v>15</v>
      </c>
      <c r="I351" s="340">
        <v>56.9</v>
      </c>
      <c r="J351" s="346">
        <v>0</v>
      </c>
      <c r="K351" s="480"/>
      <c r="L351" s="114">
        <v>16.62</v>
      </c>
      <c r="M351" s="68">
        <f t="shared" si="13"/>
        <v>3.3239999999999999E-2</v>
      </c>
    </row>
    <row r="352" spans="1:13" x14ac:dyDescent="0.25">
      <c r="A352" s="782"/>
      <c r="B352" s="353" t="s">
        <v>231</v>
      </c>
      <c r="C352" s="354"/>
      <c r="D352" s="340">
        <v>1.2</v>
      </c>
      <c r="E352" s="340">
        <v>1.2</v>
      </c>
      <c r="F352" s="340">
        <v>0</v>
      </c>
      <c r="G352" s="340">
        <v>0</v>
      </c>
      <c r="H352" s="340">
        <v>0</v>
      </c>
      <c r="I352" s="345">
        <v>0</v>
      </c>
      <c r="J352" s="346">
        <v>0</v>
      </c>
      <c r="K352" s="480"/>
      <c r="L352" s="114">
        <v>550</v>
      </c>
      <c r="M352" s="68">
        <f t="shared" si="13"/>
        <v>0.66</v>
      </c>
    </row>
    <row r="353" spans="1:13" x14ac:dyDescent="0.25">
      <c r="A353" s="782"/>
      <c r="B353" s="353" t="s">
        <v>242</v>
      </c>
      <c r="C353" s="354"/>
      <c r="D353" s="340">
        <v>7.0000000000000001E-3</v>
      </c>
      <c r="E353" s="340">
        <v>7.0000000000000001E-3</v>
      </c>
      <c r="F353" s="340">
        <v>0</v>
      </c>
      <c r="G353" s="340">
        <v>0</v>
      </c>
      <c r="H353" s="340">
        <v>0</v>
      </c>
      <c r="I353" s="345">
        <v>0</v>
      </c>
      <c r="J353" s="346">
        <v>0</v>
      </c>
      <c r="K353" s="480"/>
      <c r="L353" s="114">
        <v>153</v>
      </c>
      <c r="M353" s="68">
        <f t="shared" si="13"/>
        <v>1.0709999999999999E-3</v>
      </c>
    </row>
    <row r="354" spans="1:13" x14ac:dyDescent="0.25">
      <c r="A354" s="782"/>
      <c r="B354" s="353" t="s">
        <v>243</v>
      </c>
      <c r="C354" s="354"/>
      <c r="D354" s="340">
        <v>160</v>
      </c>
      <c r="E354" s="340">
        <v>160</v>
      </c>
      <c r="F354" s="340">
        <v>0</v>
      </c>
      <c r="G354" s="340">
        <v>0</v>
      </c>
      <c r="H354" s="340">
        <v>0</v>
      </c>
      <c r="I354" s="345">
        <v>0</v>
      </c>
      <c r="J354" s="346">
        <v>0</v>
      </c>
      <c r="K354" s="480"/>
      <c r="L354" s="114">
        <v>0</v>
      </c>
      <c r="M354" s="68">
        <f t="shared" si="13"/>
        <v>0</v>
      </c>
    </row>
    <row r="355" spans="1:13" x14ac:dyDescent="0.25">
      <c r="A355" s="782"/>
      <c r="B355" s="353" t="s">
        <v>244</v>
      </c>
      <c r="C355" s="354"/>
      <c r="D355" s="352">
        <v>4</v>
      </c>
      <c r="E355" s="357">
        <v>4</v>
      </c>
      <c r="F355" s="340">
        <f>2.5*E355/100</f>
        <v>0.1</v>
      </c>
      <c r="G355" s="340">
        <f>15*E355/100</f>
        <v>0.6</v>
      </c>
      <c r="H355" s="340">
        <f>3.4*E355/100</f>
        <v>0.13600000000000001</v>
      </c>
      <c r="I355" s="345">
        <f>206*E355/100</f>
        <v>8.24</v>
      </c>
      <c r="J355" s="346">
        <f>0.3*E355/100</f>
        <v>1.2E-2</v>
      </c>
      <c r="K355" s="480"/>
      <c r="L355" s="114"/>
      <c r="M355" s="68"/>
    </row>
    <row r="356" spans="1:13" x14ac:dyDescent="0.25">
      <c r="A356" s="782"/>
      <c r="B356" s="117"/>
      <c r="C356" s="117"/>
      <c r="D356" s="100"/>
      <c r="E356" s="100"/>
      <c r="F356" s="118">
        <f>SUM(F344:F355)</f>
        <v>1.5991</v>
      </c>
      <c r="G356" s="118">
        <f t="shared" ref="G356:J356" si="14">SUM(G344:G355)</f>
        <v>4.7305000000000001</v>
      </c>
      <c r="H356" s="118">
        <f t="shared" si="14"/>
        <v>23.853300000000001</v>
      </c>
      <c r="I356" s="118">
        <f t="shared" si="14"/>
        <v>143.96100000000001</v>
      </c>
      <c r="J356" s="118">
        <f t="shared" si="14"/>
        <v>16.217000000000002</v>
      </c>
      <c r="K356" s="156"/>
      <c r="L356" s="47"/>
      <c r="M356" s="72">
        <f>SUM(M344:M354)</f>
        <v>4.7876919999999998</v>
      </c>
    </row>
    <row r="357" spans="1:13" ht="15.75" customHeight="1" x14ac:dyDescent="0.25">
      <c r="A357" s="782"/>
      <c r="B357" s="362" t="s">
        <v>123</v>
      </c>
      <c r="C357" s="362">
        <v>200</v>
      </c>
      <c r="D357" s="353"/>
      <c r="E357" s="353"/>
      <c r="F357" s="353"/>
      <c r="G357" s="353"/>
      <c r="H357" s="353"/>
      <c r="I357" s="353"/>
      <c r="J357" s="353"/>
      <c r="K357" s="125" t="s">
        <v>191</v>
      </c>
      <c r="L357" s="65"/>
      <c r="M357" s="64"/>
    </row>
    <row r="358" spans="1:13" x14ac:dyDescent="0.25">
      <c r="A358" s="782"/>
      <c r="B358" s="353" t="s">
        <v>260</v>
      </c>
      <c r="C358" s="353"/>
      <c r="D358" s="353">
        <v>109.7</v>
      </c>
      <c r="E358" s="353">
        <v>78</v>
      </c>
      <c r="F358" s="353">
        <f>18.7*E358/100</f>
        <v>14.585999999999999</v>
      </c>
      <c r="G358" s="353">
        <f>16.1*E358/100</f>
        <v>12.558000000000002</v>
      </c>
      <c r="H358" s="353">
        <v>0</v>
      </c>
      <c r="I358" s="353">
        <f>220*E358/100</f>
        <v>171.6</v>
      </c>
      <c r="J358" s="353">
        <f>2*E358/100</f>
        <v>1.56</v>
      </c>
      <c r="K358" s="126"/>
      <c r="L358" s="114">
        <v>136</v>
      </c>
      <c r="M358" s="68">
        <f>SUM(L358*D358)/1000</f>
        <v>14.9192</v>
      </c>
    </row>
    <row r="359" spans="1:13" x14ac:dyDescent="0.25">
      <c r="A359" s="782"/>
      <c r="B359" s="353" t="s">
        <v>287</v>
      </c>
      <c r="C359" s="353"/>
      <c r="D359" s="353">
        <v>7</v>
      </c>
      <c r="E359" s="353">
        <v>7</v>
      </c>
      <c r="F359" s="353">
        <v>0</v>
      </c>
      <c r="G359" s="353">
        <f>99.9*E359/100</f>
        <v>6.9930000000000003</v>
      </c>
      <c r="H359" s="353">
        <v>0</v>
      </c>
      <c r="I359" s="353">
        <f>899*E359/100</f>
        <v>62.93</v>
      </c>
      <c r="J359" s="353">
        <v>0</v>
      </c>
      <c r="K359" s="152"/>
      <c r="L359" s="114">
        <v>35</v>
      </c>
      <c r="M359" s="68">
        <f>SUM(L359*D359)/1000</f>
        <v>0.245</v>
      </c>
    </row>
    <row r="360" spans="1:13" x14ac:dyDescent="0.25">
      <c r="A360" s="782"/>
      <c r="B360" s="353" t="s">
        <v>237</v>
      </c>
      <c r="C360" s="353"/>
      <c r="D360" s="353">
        <v>107</v>
      </c>
      <c r="E360" s="353">
        <v>80</v>
      </c>
      <c r="F360" s="353">
        <f>2*E360/100</f>
        <v>1.6</v>
      </c>
      <c r="G360" s="353">
        <f>0.4*E360/100</f>
        <v>0.32</v>
      </c>
      <c r="H360" s="353">
        <f>16.3*E360/100</f>
        <v>13.04</v>
      </c>
      <c r="I360" s="353">
        <f>77*E360/100</f>
        <v>61.6</v>
      </c>
      <c r="J360" s="353">
        <f>20*E360/100</f>
        <v>16</v>
      </c>
      <c r="K360" s="152"/>
      <c r="L360" s="114">
        <v>41</v>
      </c>
      <c r="M360" s="68">
        <f>SUM(L360*D360)/1000</f>
        <v>4.3869999999999996</v>
      </c>
    </row>
    <row r="361" spans="1:13" x14ac:dyDescent="0.25">
      <c r="A361" s="782"/>
      <c r="B361" s="353" t="s">
        <v>238</v>
      </c>
      <c r="C361" s="353"/>
      <c r="D361" s="353">
        <v>21</v>
      </c>
      <c r="E361" s="353">
        <v>17</v>
      </c>
      <c r="F361" s="353">
        <f>1.3*E361/100</f>
        <v>0.221</v>
      </c>
      <c r="G361" s="353">
        <v>0</v>
      </c>
      <c r="H361" s="353">
        <f>6.9*E361/100</f>
        <v>1.173</v>
      </c>
      <c r="I361" s="353">
        <f>35*E361/100</f>
        <v>5.95</v>
      </c>
      <c r="J361" s="353">
        <f>5*E361/100</f>
        <v>0.85</v>
      </c>
      <c r="K361" s="152"/>
      <c r="L361" s="114">
        <v>50</v>
      </c>
      <c r="M361" s="68">
        <f>SUM(L361*D361)/1000</f>
        <v>1.05</v>
      </c>
    </row>
    <row r="362" spans="1:13" x14ac:dyDescent="0.25">
      <c r="A362" s="782"/>
      <c r="B362" s="353" t="s">
        <v>240</v>
      </c>
      <c r="C362" s="353"/>
      <c r="D362" s="353">
        <v>2.4</v>
      </c>
      <c r="E362" s="353">
        <v>2.4</v>
      </c>
      <c r="F362" s="353">
        <f>4.8*E362/100</f>
        <v>0.1152</v>
      </c>
      <c r="G362" s="353">
        <v>0</v>
      </c>
      <c r="H362" s="353">
        <f>19*E362/100</f>
        <v>0.45600000000000002</v>
      </c>
      <c r="I362" s="353">
        <f>102*E362/100</f>
        <v>2.448</v>
      </c>
      <c r="J362" s="353">
        <f>45*E362/100</f>
        <v>1.08</v>
      </c>
      <c r="K362" s="152"/>
      <c r="L362" s="114"/>
      <c r="M362" s="68">
        <v>0</v>
      </c>
    </row>
    <row r="363" spans="1:13" x14ac:dyDescent="0.25">
      <c r="A363" s="782"/>
      <c r="B363" s="353" t="s">
        <v>239</v>
      </c>
      <c r="C363" s="353"/>
      <c r="D363" s="353">
        <v>12</v>
      </c>
      <c r="E363" s="353">
        <v>10</v>
      </c>
      <c r="F363" s="353">
        <f>1.4*E363/100</f>
        <v>0.14000000000000001</v>
      </c>
      <c r="G363" s="353">
        <v>0</v>
      </c>
      <c r="H363" s="353">
        <f>8.2*E363/100</f>
        <v>0.82</v>
      </c>
      <c r="I363" s="353">
        <f>41*E363/100</f>
        <v>4.0999999999999996</v>
      </c>
      <c r="J363" s="353">
        <f>10*E363/100</f>
        <v>1</v>
      </c>
      <c r="K363" s="174"/>
      <c r="L363" s="114">
        <v>310</v>
      </c>
      <c r="M363" s="68">
        <f>SUM(L363*D363)/1000</f>
        <v>3.72</v>
      </c>
    </row>
    <row r="364" spans="1:13" x14ac:dyDescent="0.25">
      <c r="A364" s="782"/>
      <c r="B364" s="353" t="s">
        <v>231</v>
      </c>
      <c r="C364" s="353"/>
      <c r="D364" s="353">
        <v>1</v>
      </c>
      <c r="E364" s="353">
        <v>1</v>
      </c>
      <c r="F364" s="353">
        <v>0</v>
      </c>
      <c r="G364" s="353">
        <v>0</v>
      </c>
      <c r="H364" s="353">
        <v>0</v>
      </c>
      <c r="I364" s="353">
        <v>0</v>
      </c>
      <c r="J364" s="353">
        <v>0</v>
      </c>
      <c r="K364" s="174"/>
      <c r="L364" s="114">
        <v>16</v>
      </c>
      <c r="M364" s="68">
        <f>SUM(L364*D364)/1000</f>
        <v>1.6E-2</v>
      </c>
    </row>
    <row r="365" spans="1:13" x14ac:dyDescent="0.25">
      <c r="A365" s="782"/>
      <c r="B365" s="353" t="s">
        <v>291</v>
      </c>
      <c r="C365" s="353"/>
      <c r="D365" s="353">
        <v>1</v>
      </c>
      <c r="E365" s="353">
        <v>1</v>
      </c>
      <c r="F365" s="353">
        <f>10.3*E365/100</f>
        <v>0.10300000000000001</v>
      </c>
      <c r="G365" s="353">
        <f>1.1*E365/100</f>
        <v>1.1000000000000001E-2</v>
      </c>
      <c r="H365" s="353">
        <f>69*E365/100</f>
        <v>0.69</v>
      </c>
      <c r="I365" s="353">
        <f>334*E365/100</f>
        <v>3.34</v>
      </c>
      <c r="J365" s="353">
        <v>0</v>
      </c>
      <c r="K365" s="126"/>
      <c r="L365" s="114"/>
      <c r="M365" s="72">
        <f>SUM(M358:M364)</f>
        <v>24.337199999999996</v>
      </c>
    </row>
    <row r="366" spans="1:13" x14ac:dyDescent="0.25">
      <c r="A366" s="782"/>
      <c r="B366" s="353"/>
      <c r="C366" s="353"/>
      <c r="D366" s="353"/>
      <c r="E366" s="353"/>
      <c r="F366" s="665">
        <f>SUM(F358:F365)</f>
        <v>16.765200000000004</v>
      </c>
      <c r="G366" s="665">
        <f>SUM(G357:G365)</f>
        <v>19.882000000000001</v>
      </c>
      <c r="H366" s="665">
        <f>SUM(H357:H365)</f>
        <v>16.178999999999998</v>
      </c>
      <c r="I366" s="665">
        <f>SUM(I357:I365)</f>
        <v>311.96799999999996</v>
      </c>
      <c r="J366" s="665">
        <f>SUM(J357:J365)</f>
        <v>20.490000000000002</v>
      </c>
      <c r="K366" s="112"/>
      <c r="L366" s="112"/>
      <c r="M366" s="108"/>
    </row>
    <row r="367" spans="1:13" ht="15" hidden="1" customHeight="1" x14ac:dyDescent="0.25">
      <c r="A367" s="782"/>
      <c r="B367" s="107"/>
      <c r="C367" s="194"/>
      <c r="D367" s="63"/>
      <c r="E367" s="195"/>
      <c r="F367" s="210"/>
      <c r="G367" s="211"/>
      <c r="H367" s="211"/>
      <c r="I367" s="211"/>
      <c r="J367" s="212"/>
      <c r="K367" s="112"/>
      <c r="L367" s="112"/>
      <c r="M367" s="108"/>
    </row>
    <row r="368" spans="1:13" ht="15" hidden="1" customHeight="1" x14ac:dyDescent="0.25">
      <c r="A368" s="782"/>
      <c r="B368" s="107"/>
      <c r="C368" s="194"/>
      <c r="D368" s="63"/>
      <c r="E368" s="195"/>
      <c r="F368" s="210"/>
      <c r="G368" s="211"/>
      <c r="H368" s="211"/>
      <c r="I368" s="211"/>
      <c r="J368" s="212"/>
      <c r="K368" s="112"/>
      <c r="L368" s="112"/>
      <c r="M368" s="108"/>
    </row>
    <row r="369" spans="1:13" ht="15" hidden="1" customHeight="1" x14ac:dyDescent="0.25">
      <c r="A369" s="782"/>
      <c r="B369" s="107"/>
      <c r="C369" s="194"/>
      <c r="D369" s="63"/>
      <c r="E369" s="195"/>
      <c r="F369" s="210"/>
      <c r="G369" s="211"/>
      <c r="H369" s="211"/>
      <c r="I369" s="211"/>
      <c r="J369" s="212"/>
      <c r="K369" s="112"/>
      <c r="L369" s="112"/>
      <c r="M369" s="108"/>
    </row>
    <row r="370" spans="1:13" ht="15" hidden="1" customHeight="1" x14ac:dyDescent="0.25">
      <c r="A370" s="782"/>
      <c r="B370" s="107"/>
      <c r="C370" s="194"/>
      <c r="D370" s="63"/>
      <c r="E370" s="195"/>
      <c r="F370" s="210"/>
      <c r="G370" s="211"/>
      <c r="H370" s="211"/>
      <c r="I370" s="211"/>
      <c r="J370" s="212"/>
      <c r="K370" s="112"/>
      <c r="L370" s="112"/>
      <c r="M370" s="108"/>
    </row>
    <row r="371" spans="1:13" ht="15" hidden="1" customHeight="1" x14ac:dyDescent="0.25">
      <c r="A371" s="782"/>
      <c r="B371" s="107"/>
      <c r="C371" s="194"/>
      <c r="D371" s="63"/>
      <c r="E371" s="195"/>
      <c r="F371" s="210"/>
      <c r="G371" s="211"/>
      <c r="H371" s="211"/>
      <c r="I371" s="211"/>
      <c r="J371" s="212"/>
      <c r="K371" s="112"/>
      <c r="L371" s="112"/>
      <c r="M371" s="108"/>
    </row>
    <row r="372" spans="1:13" ht="15" hidden="1" customHeight="1" x14ac:dyDescent="0.25">
      <c r="A372" s="782"/>
      <c r="B372" s="176"/>
      <c r="C372" s="176"/>
      <c r="D372" s="172"/>
      <c r="E372" s="172"/>
      <c r="F372" s="118"/>
      <c r="G372" s="118"/>
      <c r="H372" s="118"/>
      <c r="I372" s="118"/>
      <c r="J372" s="118"/>
      <c r="K372" s="156"/>
      <c r="L372" s="65"/>
      <c r="M372" s="72"/>
    </row>
    <row r="373" spans="1:13" ht="15" hidden="1" customHeight="1" x14ac:dyDescent="0.25">
      <c r="A373" s="782"/>
      <c r="B373" s="207"/>
      <c r="C373" s="208"/>
      <c r="D373" s="209"/>
      <c r="E373" s="209"/>
      <c r="F373" s="51"/>
      <c r="G373" s="51"/>
      <c r="H373" s="51"/>
      <c r="I373" s="51"/>
      <c r="J373" s="53"/>
      <c r="K373" s="125"/>
      <c r="L373" s="65"/>
      <c r="M373" s="64"/>
    </row>
    <row r="374" spans="1:13" ht="15" hidden="1" customHeight="1" x14ac:dyDescent="0.25">
      <c r="A374" s="782"/>
      <c r="B374" s="213"/>
      <c r="C374" s="213"/>
      <c r="D374" s="63"/>
      <c r="E374" s="63"/>
      <c r="F374" s="59"/>
      <c r="G374" s="51"/>
      <c r="H374" s="51"/>
      <c r="I374" s="51"/>
      <c r="J374" s="53"/>
      <c r="K374" s="126"/>
      <c r="L374" s="114"/>
      <c r="M374" s="68"/>
    </row>
    <row r="375" spans="1:13" ht="15" hidden="1" customHeight="1" x14ac:dyDescent="0.25">
      <c r="A375" s="782"/>
      <c r="B375" s="213"/>
      <c r="C375" s="213"/>
      <c r="D375" s="63"/>
      <c r="E375" s="63"/>
      <c r="F375" s="59"/>
      <c r="G375" s="51"/>
      <c r="H375" s="51"/>
      <c r="I375" s="51"/>
      <c r="J375" s="53"/>
      <c r="K375" s="126"/>
      <c r="L375" s="114"/>
      <c r="M375" s="68"/>
    </row>
    <row r="376" spans="1:13" ht="15" hidden="1" customHeight="1" x14ac:dyDescent="0.25">
      <c r="A376" s="782"/>
      <c r="B376" s="213"/>
      <c r="C376" s="213"/>
      <c r="D376" s="63"/>
      <c r="E376" s="63"/>
      <c r="F376" s="59"/>
      <c r="G376" s="51"/>
      <c r="H376" s="51"/>
      <c r="I376" s="51"/>
      <c r="J376" s="53"/>
      <c r="K376" s="126"/>
      <c r="L376" s="114"/>
      <c r="M376" s="68"/>
    </row>
    <row r="377" spans="1:13" ht="15" hidden="1" customHeight="1" x14ac:dyDescent="0.25">
      <c r="A377" s="782"/>
      <c r="B377" s="213"/>
      <c r="C377" s="213"/>
      <c r="D377" s="63"/>
      <c r="E377" s="63"/>
      <c r="F377" s="59"/>
      <c r="G377" s="51"/>
      <c r="H377" s="51"/>
      <c r="I377" s="51"/>
      <c r="J377" s="53"/>
      <c r="K377" s="126"/>
      <c r="L377" s="114"/>
      <c r="M377" s="68"/>
    </row>
    <row r="378" spans="1:13" ht="15" hidden="1" customHeight="1" x14ac:dyDescent="0.25">
      <c r="A378" s="782"/>
      <c r="B378" s="213"/>
      <c r="C378" s="213"/>
      <c r="D378" s="63"/>
      <c r="E378" s="63"/>
      <c r="F378" s="59"/>
      <c r="G378" s="51"/>
      <c r="H378" s="51"/>
      <c r="I378" s="51"/>
      <c r="J378" s="53"/>
      <c r="K378" s="126"/>
      <c r="L378" s="114"/>
      <c r="M378" s="68"/>
    </row>
    <row r="379" spans="1:13" ht="15" hidden="1" customHeight="1" x14ac:dyDescent="0.25">
      <c r="A379" s="782"/>
      <c r="B379" s="213"/>
      <c r="C379" s="213"/>
      <c r="D379" s="63"/>
      <c r="E379" s="63"/>
      <c r="F379" s="171"/>
      <c r="G379" s="172"/>
      <c r="H379" s="172"/>
      <c r="I379" s="172"/>
      <c r="J379" s="214"/>
      <c r="K379" s="170"/>
      <c r="L379" s="215"/>
      <c r="M379" s="68"/>
    </row>
    <row r="380" spans="1:13" ht="15" hidden="1" customHeight="1" x14ac:dyDescent="0.25">
      <c r="A380" s="782"/>
      <c r="B380" s="213"/>
      <c r="C380" s="213"/>
      <c r="D380" s="63"/>
      <c r="E380" s="63"/>
      <c r="F380" s="102"/>
      <c r="G380" s="63"/>
      <c r="H380" s="63"/>
      <c r="I380" s="63"/>
      <c r="J380" s="96"/>
      <c r="K380" s="125"/>
      <c r="L380" s="114"/>
      <c r="M380" s="68"/>
    </row>
    <row r="381" spans="1:13" ht="15" hidden="1" customHeight="1" x14ac:dyDescent="0.25">
      <c r="A381" s="782"/>
      <c r="B381" s="213"/>
      <c r="C381" s="213"/>
      <c r="D381" s="63"/>
      <c r="E381" s="63"/>
      <c r="F381" s="102"/>
      <c r="G381" s="63"/>
      <c r="H381" s="63"/>
      <c r="I381" s="63"/>
      <c r="J381" s="96"/>
      <c r="K381" s="125"/>
      <c r="L381" s="114"/>
      <c r="M381" s="68"/>
    </row>
    <row r="382" spans="1:13" ht="15" hidden="1" customHeight="1" x14ac:dyDescent="0.25">
      <c r="A382" s="782"/>
      <c r="B382" s="213"/>
      <c r="C382" s="213"/>
      <c r="D382" s="63"/>
      <c r="E382" s="63"/>
      <c r="F382" s="102"/>
      <c r="G382" s="63"/>
      <c r="H382" s="63"/>
      <c r="I382" s="63"/>
      <c r="J382" s="96"/>
      <c r="K382" s="125"/>
      <c r="L382" s="114"/>
      <c r="M382" s="68"/>
    </row>
    <row r="383" spans="1:13" ht="15" hidden="1" customHeight="1" x14ac:dyDescent="0.25">
      <c r="A383" s="782"/>
      <c r="B383" s="213"/>
      <c r="C383" s="216"/>
      <c r="D383" s="100"/>
      <c r="E383" s="100"/>
      <c r="F383" s="192"/>
      <c r="G383" s="192"/>
      <c r="H383" s="192"/>
      <c r="I383" s="192"/>
      <c r="J383" s="193"/>
      <c r="K383" s="156"/>
      <c r="L383" s="65"/>
      <c r="M383" s="72"/>
    </row>
    <row r="384" spans="1:13" ht="19.5" customHeight="1" x14ac:dyDescent="0.25">
      <c r="A384" s="782"/>
      <c r="B384" s="138" t="s">
        <v>180</v>
      </c>
      <c r="C384" s="124">
        <v>180</v>
      </c>
      <c r="D384" s="13"/>
      <c r="E384" s="13"/>
      <c r="F384" s="63"/>
      <c r="G384" s="63"/>
      <c r="H384" s="63"/>
      <c r="I384" s="63"/>
      <c r="J384" s="96"/>
      <c r="K384" s="108" t="s">
        <v>181</v>
      </c>
      <c r="L384" s="65"/>
      <c r="M384" s="64"/>
    </row>
    <row r="385" spans="1:13" ht="17.25" customHeight="1" x14ac:dyDescent="0.25">
      <c r="A385" s="782"/>
      <c r="B385" s="107" t="s">
        <v>182</v>
      </c>
      <c r="C385" s="107"/>
      <c r="D385" s="63">
        <v>18</v>
      </c>
      <c r="E385" s="63" t="s">
        <v>183</v>
      </c>
      <c r="F385" s="63">
        <v>0.93600000000000005</v>
      </c>
      <c r="G385" s="63">
        <v>5.3999999999999999E-2</v>
      </c>
      <c r="H385" s="63">
        <v>9.18</v>
      </c>
      <c r="I385" s="63">
        <v>41.76</v>
      </c>
      <c r="J385" s="96">
        <v>0.72</v>
      </c>
      <c r="K385" s="136"/>
      <c r="L385" s="114">
        <v>90</v>
      </c>
      <c r="M385" s="64">
        <f>SUM(L385*D385)/1000</f>
        <v>1.62</v>
      </c>
    </row>
    <row r="386" spans="1:13" x14ac:dyDescent="0.25">
      <c r="A386" s="782"/>
      <c r="B386" s="107" t="s">
        <v>38</v>
      </c>
      <c r="C386" s="107"/>
      <c r="D386" s="63">
        <v>14.4</v>
      </c>
      <c r="E386" s="63">
        <v>14.4</v>
      </c>
      <c r="F386" s="63">
        <v>0</v>
      </c>
      <c r="G386" s="63">
        <v>0</v>
      </c>
      <c r="H386" s="63">
        <v>14.371</v>
      </c>
      <c r="I386" s="63">
        <v>54.576000000000001</v>
      </c>
      <c r="J386" s="96">
        <v>0</v>
      </c>
      <c r="K386" s="136"/>
      <c r="L386" s="114">
        <v>50</v>
      </c>
      <c r="M386" s="64">
        <f>SUM(L386*D386)/1000</f>
        <v>0.72</v>
      </c>
    </row>
    <row r="387" spans="1:13" x14ac:dyDescent="0.25">
      <c r="A387" s="782"/>
      <c r="B387" s="107" t="s">
        <v>19</v>
      </c>
      <c r="C387" s="107"/>
      <c r="D387" s="63">
        <v>182.7</v>
      </c>
      <c r="E387" s="63">
        <v>182.7</v>
      </c>
      <c r="F387" s="63">
        <v>0</v>
      </c>
      <c r="G387" s="63">
        <v>0</v>
      </c>
      <c r="H387" s="63">
        <v>0</v>
      </c>
      <c r="I387" s="63">
        <v>0</v>
      </c>
      <c r="J387" s="96">
        <v>0</v>
      </c>
      <c r="K387" s="136"/>
      <c r="L387" s="114">
        <v>0</v>
      </c>
      <c r="M387" s="64">
        <f>SUM(L387*D387)/1000</f>
        <v>0</v>
      </c>
    </row>
    <row r="388" spans="1:13" x14ac:dyDescent="0.25">
      <c r="A388" s="782"/>
      <c r="B388" s="107"/>
      <c r="C388" s="107"/>
      <c r="D388" s="63"/>
      <c r="E388" s="63"/>
      <c r="F388" s="118">
        <f>SUM(F385:F387)</f>
        <v>0.93600000000000005</v>
      </c>
      <c r="G388" s="118">
        <f>SUM(G385:G387)</f>
        <v>5.3999999999999999E-2</v>
      </c>
      <c r="H388" s="118">
        <f>SUM(H385:H387)</f>
        <v>23.551000000000002</v>
      </c>
      <c r="I388" s="118">
        <f>SUM(I385:I387)</f>
        <v>96.335999999999999</v>
      </c>
      <c r="J388" s="118">
        <f>SUM(J385:J387)</f>
        <v>0.72</v>
      </c>
      <c r="K388" s="153"/>
      <c r="L388" s="65"/>
      <c r="M388" s="72">
        <f>SUM(M385:M387)</f>
        <v>2.34</v>
      </c>
    </row>
    <row r="389" spans="1:13" x14ac:dyDescent="0.25">
      <c r="A389" s="782"/>
      <c r="B389" s="647" t="s">
        <v>40</v>
      </c>
      <c r="C389" s="124">
        <v>40</v>
      </c>
      <c r="D389" s="63">
        <v>40</v>
      </c>
      <c r="E389" s="63">
        <v>40</v>
      </c>
      <c r="F389" s="118">
        <v>3.85</v>
      </c>
      <c r="G389" s="118">
        <v>1.5</v>
      </c>
      <c r="H389" s="118">
        <v>24.9</v>
      </c>
      <c r="I389" s="118">
        <v>131</v>
      </c>
      <c r="J389" s="139">
        <v>0</v>
      </c>
      <c r="K389" s="153" t="s">
        <v>73</v>
      </c>
      <c r="L389" s="114">
        <v>35</v>
      </c>
      <c r="M389" s="72">
        <f>SUM(L389*D389)/1000</f>
        <v>1.4</v>
      </c>
    </row>
    <row r="390" spans="1:13" x14ac:dyDescent="0.25">
      <c r="A390" s="783"/>
      <c r="B390" s="124" t="s">
        <v>74</v>
      </c>
      <c r="C390" s="124"/>
      <c r="D390" s="180"/>
      <c r="E390" s="180"/>
      <c r="F390" s="265">
        <f>F356+F366+F388+F389</f>
        <v>23.150300000000005</v>
      </c>
      <c r="G390" s="265">
        <f>G356+G366+G388+G389</f>
        <v>26.166499999999999</v>
      </c>
      <c r="H390" s="265">
        <f>H356+H366+H388+H389</f>
        <v>88.4833</v>
      </c>
      <c r="I390" s="265">
        <f>I356+I366+I388+I389</f>
        <v>683.26499999999999</v>
      </c>
      <c r="J390" s="265">
        <f>J356+J366+J388+J389</f>
        <v>37.427000000000007</v>
      </c>
      <c r="K390" s="158"/>
      <c r="L390" s="65"/>
      <c r="M390" s="71">
        <f>SUM(M356,M365,M372,M383,M388:M389)</f>
        <v>32.864891999999998</v>
      </c>
    </row>
    <row r="391" spans="1:13" ht="16.5" customHeight="1" x14ac:dyDescent="0.25">
      <c r="A391" s="5" t="s">
        <v>114</v>
      </c>
      <c r="B391" s="13"/>
      <c r="C391" s="4"/>
      <c r="D391" s="105"/>
      <c r="E391" s="106"/>
      <c r="F391" s="63"/>
      <c r="G391" s="63"/>
      <c r="H391" s="63"/>
      <c r="I391" s="63"/>
      <c r="J391" s="96"/>
      <c r="K391" s="125"/>
      <c r="L391" s="65"/>
      <c r="M391" s="64"/>
    </row>
    <row r="392" spans="1:13" x14ac:dyDescent="0.25">
      <c r="A392" s="781"/>
      <c r="B392" s="677" t="s">
        <v>422</v>
      </c>
      <c r="C392" s="254">
        <v>125</v>
      </c>
      <c r="D392" s="187"/>
      <c r="E392" s="189"/>
      <c r="F392" s="687"/>
      <c r="G392" s="687"/>
      <c r="H392" s="687"/>
      <c r="I392" s="687"/>
      <c r="J392" s="687"/>
      <c r="K392" s="236" t="s">
        <v>430</v>
      </c>
      <c r="L392" s="365"/>
      <c r="M392" s="366"/>
    </row>
    <row r="393" spans="1:13" s="748" customFormat="1" x14ac:dyDescent="0.25">
      <c r="A393" s="782"/>
      <c r="B393" s="743" t="s">
        <v>203</v>
      </c>
      <c r="C393" s="744"/>
      <c r="D393" s="183">
        <v>70.5</v>
      </c>
      <c r="E393" s="183">
        <v>69</v>
      </c>
      <c r="F393" s="295">
        <v>4</v>
      </c>
      <c r="G393" s="295">
        <v>2.16</v>
      </c>
      <c r="H393" s="295">
        <v>0.48</v>
      </c>
      <c r="I393" s="295">
        <v>37.270000000000003</v>
      </c>
      <c r="J393" s="296">
        <v>0.12</v>
      </c>
      <c r="K393" s="745"/>
      <c r="L393" s="746"/>
      <c r="M393" s="747"/>
    </row>
    <row r="394" spans="1:13" s="748" customFormat="1" x14ac:dyDescent="0.25">
      <c r="A394" s="782"/>
      <c r="B394" s="749" t="s">
        <v>227</v>
      </c>
      <c r="C394" s="750"/>
      <c r="D394" s="751">
        <v>4.5</v>
      </c>
      <c r="E394" s="751">
        <v>4.5</v>
      </c>
      <c r="F394" s="752">
        <f>10.3*E394/100</f>
        <v>0.46350000000000002</v>
      </c>
      <c r="G394" s="752">
        <f>1*E394/100</f>
        <v>4.4999999999999998E-2</v>
      </c>
      <c r="H394" s="753">
        <f>67.9*E394/100</f>
        <v>3.0555000000000003</v>
      </c>
      <c r="I394" s="754">
        <f>328*E394/100</f>
        <v>14.76</v>
      </c>
      <c r="J394" s="755">
        <v>0</v>
      </c>
      <c r="K394" s="745"/>
      <c r="L394" s="746"/>
      <c r="M394" s="747"/>
    </row>
    <row r="395" spans="1:13" s="748" customFormat="1" x14ac:dyDescent="0.25">
      <c r="A395" s="782"/>
      <c r="B395" s="202" t="s">
        <v>38</v>
      </c>
      <c r="C395" s="157"/>
      <c r="D395" s="51">
        <v>6</v>
      </c>
      <c r="E395" s="51">
        <v>6</v>
      </c>
      <c r="F395" s="286">
        <v>0</v>
      </c>
      <c r="G395" s="286">
        <v>0</v>
      </c>
      <c r="H395" s="286">
        <v>14.371</v>
      </c>
      <c r="I395" s="286">
        <v>54.576000000000001</v>
      </c>
      <c r="J395" s="269">
        <v>0</v>
      </c>
      <c r="K395" s="756"/>
      <c r="L395" s="746"/>
      <c r="M395" s="747"/>
    </row>
    <row r="396" spans="1:13" s="748" customFormat="1" x14ac:dyDescent="0.25">
      <c r="A396" s="782"/>
      <c r="B396" s="743" t="s">
        <v>34</v>
      </c>
      <c r="C396" s="744"/>
      <c r="D396" s="757">
        <v>3</v>
      </c>
      <c r="E396" s="183">
        <v>3</v>
      </c>
      <c r="F396" s="295">
        <v>0.76200000000000001</v>
      </c>
      <c r="G396" s="295">
        <v>0.69</v>
      </c>
      <c r="H396" s="295">
        <v>4.2000000000000003E-2</v>
      </c>
      <c r="I396" s="295">
        <v>9.42</v>
      </c>
      <c r="J396" s="296">
        <v>0</v>
      </c>
      <c r="K396" s="758"/>
      <c r="L396" s="295">
        <v>4.6989999999999998</v>
      </c>
      <c r="M396" s="759">
        <f>SUM(L396*D396)/40</f>
        <v>0.35242499999999999</v>
      </c>
    </row>
    <row r="397" spans="1:13" s="748" customFormat="1" x14ac:dyDescent="0.25">
      <c r="A397" s="782"/>
      <c r="B397" s="760" t="s">
        <v>21</v>
      </c>
      <c r="C397" s="157"/>
      <c r="D397" s="51">
        <v>3</v>
      </c>
      <c r="E397" s="51">
        <v>3</v>
      </c>
      <c r="F397" s="761">
        <v>0.04</v>
      </c>
      <c r="G397" s="762">
        <v>3.625</v>
      </c>
      <c r="H397" s="286">
        <v>6.5000000000000002E-2</v>
      </c>
      <c r="I397" s="286">
        <v>33.049999999999997</v>
      </c>
      <c r="J397" s="269">
        <v>0</v>
      </c>
      <c r="K397" s="758"/>
      <c r="L397" s="295">
        <v>92.2</v>
      </c>
      <c r="M397" s="759">
        <f>SUM(L397*D397)/1000</f>
        <v>0.27660000000000001</v>
      </c>
    </row>
    <row r="398" spans="1:13" s="748" customFormat="1" x14ac:dyDescent="0.25">
      <c r="A398" s="782"/>
      <c r="B398" s="743" t="s">
        <v>200</v>
      </c>
      <c r="C398" s="744"/>
      <c r="D398" s="183">
        <v>10.199999999999999</v>
      </c>
      <c r="E398" s="183">
        <v>10</v>
      </c>
      <c r="F398" s="295">
        <v>0.04</v>
      </c>
      <c r="G398" s="295">
        <v>0</v>
      </c>
      <c r="H398" s="295">
        <v>6.5</v>
      </c>
      <c r="I398" s="295">
        <v>25</v>
      </c>
      <c r="J398" s="296">
        <v>0.05</v>
      </c>
      <c r="K398" s="758"/>
      <c r="L398" s="295">
        <v>158.22999999999999</v>
      </c>
      <c r="M398" s="759">
        <f>SUM(L398*D398)/1000</f>
        <v>1.6139459999999997</v>
      </c>
    </row>
    <row r="399" spans="1:13" s="748" customFormat="1" x14ac:dyDescent="0.25">
      <c r="A399" s="782"/>
      <c r="B399" s="743" t="s">
        <v>201</v>
      </c>
      <c r="C399" s="744"/>
      <c r="D399" s="183">
        <v>0.01</v>
      </c>
      <c r="E399" s="183">
        <v>0.01</v>
      </c>
      <c r="F399" s="295">
        <v>0</v>
      </c>
      <c r="G399" s="295">
        <v>0</v>
      </c>
      <c r="H399" s="295">
        <v>0</v>
      </c>
      <c r="I399" s="295">
        <v>0</v>
      </c>
      <c r="J399" s="296">
        <v>0</v>
      </c>
      <c r="K399" s="758"/>
      <c r="L399" s="295"/>
      <c r="M399" s="759"/>
    </row>
    <row r="400" spans="1:13" s="748" customFormat="1" x14ac:dyDescent="0.25">
      <c r="A400" s="782"/>
      <c r="B400" s="202" t="s">
        <v>68</v>
      </c>
      <c r="C400" s="157"/>
      <c r="D400" s="51">
        <v>4</v>
      </c>
      <c r="E400" s="51">
        <v>4</v>
      </c>
      <c r="F400" s="286">
        <v>0</v>
      </c>
      <c r="G400" s="286">
        <v>0</v>
      </c>
      <c r="H400" s="286">
        <v>0</v>
      </c>
      <c r="I400" s="286">
        <v>0</v>
      </c>
      <c r="J400" s="269">
        <v>0</v>
      </c>
      <c r="K400" s="758"/>
      <c r="L400" s="295"/>
      <c r="M400" s="759"/>
    </row>
    <row r="401" spans="1:13" x14ac:dyDescent="0.25">
      <c r="A401" s="782"/>
      <c r="B401" s="444" t="s">
        <v>152</v>
      </c>
      <c r="C401" s="501"/>
      <c r="D401" s="502">
        <v>4</v>
      </c>
      <c r="E401" s="503">
        <v>4</v>
      </c>
      <c r="F401" s="501">
        <f>2.5*E401/100</f>
        <v>0.1</v>
      </c>
      <c r="G401" s="501">
        <f>15*E401/100</f>
        <v>0.6</v>
      </c>
      <c r="H401" s="501">
        <f>3.4*E401/100</f>
        <v>0.13600000000000001</v>
      </c>
      <c r="I401" s="514">
        <f>206*E401/100</f>
        <v>8.24</v>
      </c>
      <c r="J401" s="515">
        <f>0.3*E401/100</f>
        <v>1.2E-2</v>
      </c>
      <c r="K401" s="190"/>
      <c r="L401" s="185">
        <v>400</v>
      </c>
      <c r="M401" s="368">
        <f>SUM(L401*D401)/1000</f>
        <v>1.6</v>
      </c>
    </row>
    <row r="402" spans="1:13" x14ac:dyDescent="0.25">
      <c r="A402" s="782"/>
      <c r="B402" s="420"/>
      <c r="C402" s="365"/>
      <c r="D402" s="423"/>
      <c r="E402" s="416"/>
      <c r="F402" s="686">
        <f>SUM(F393:F401)</f>
        <v>5.4055</v>
      </c>
      <c r="G402" s="686">
        <f>SUM(G393:G401)</f>
        <v>7.1199999999999992</v>
      </c>
      <c r="H402" s="686">
        <f>SUM(H393:H401)</f>
        <v>24.649500000000003</v>
      </c>
      <c r="I402" s="686">
        <f>SUM(I393:I401)</f>
        <v>182.316</v>
      </c>
      <c r="J402" s="686">
        <f>SUM(J393:J401)</f>
        <v>0.182</v>
      </c>
      <c r="K402" s="190"/>
      <c r="L402" s="185"/>
      <c r="M402" s="368"/>
    </row>
    <row r="403" spans="1:13" x14ac:dyDescent="0.25">
      <c r="A403" s="782"/>
      <c r="B403" s="500" t="s">
        <v>202</v>
      </c>
      <c r="C403" s="682"/>
      <c r="D403" s="683"/>
      <c r="E403" s="684">
        <v>100</v>
      </c>
      <c r="F403" s="685"/>
      <c r="G403" s="685"/>
      <c r="H403" s="685"/>
      <c r="I403" s="685"/>
      <c r="J403" s="685"/>
      <c r="K403" s="190"/>
      <c r="L403" s="185"/>
      <c r="M403" s="368"/>
    </row>
    <row r="404" spans="1:13" x14ac:dyDescent="0.25">
      <c r="A404" s="782"/>
      <c r="B404" s="389" t="s">
        <v>221</v>
      </c>
      <c r="C404" s="339">
        <v>25</v>
      </c>
      <c r="D404" s="340"/>
      <c r="E404" s="340"/>
      <c r="F404" s="666"/>
      <c r="G404" s="666"/>
      <c r="H404" s="666"/>
      <c r="I404" s="666"/>
      <c r="J404" s="666"/>
      <c r="K404" s="483" t="s">
        <v>298</v>
      </c>
      <c r="L404" s="365"/>
      <c r="M404" s="369">
        <f>SUM(M396:M401)</f>
        <v>3.8429709999999999</v>
      </c>
    </row>
    <row r="405" spans="1:13" x14ac:dyDescent="0.25">
      <c r="A405" s="782"/>
      <c r="B405" s="406" t="s">
        <v>228</v>
      </c>
      <c r="C405" s="354"/>
      <c r="D405" s="340">
        <v>12.5</v>
      </c>
      <c r="E405" s="340">
        <v>12.5</v>
      </c>
      <c r="F405" s="340">
        <f>2.8*E405/100</f>
        <v>0.35</v>
      </c>
      <c r="G405" s="340">
        <f>3.2*E405/100</f>
        <v>0.4</v>
      </c>
      <c r="H405" s="340">
        <f>4.7*E405/100</f>
        <v>0.58750000000000002</v>
      </c>
      <c r="I405" s="345">
        <f>58*E405/100</f>
        <v>7.25</v>
      </c>
      <c r="J405" s="346">
        <f>1.3*E405/100</f>
        <v>0.16250000000000001</v>
      </c>
      <c r="K405" s="483"/>
      <c r="L405" s="365"/>
      <c r="M405" s="508"/>
    </row>
    <row r="406" spans="1:13" x14ac:dyDescent="0.25">
      <c r="A406" s="782"/>
      <c r="B406" s="406" t="s">
        <v>288</v>
      </c>
      <c r="C406" s="354"/>
      <c r="D406" s="340">
        <v>1.1000000000000001</v>
      </c>
      <c r="E406" s="340">
        <v>1.1000000000000001</v>
      </c>
      <c r="F406" s="340">
        <f>0.8*E406/100</f>
        <v>8.8000000000000005E-3</v>
      </c>
      <c r="G406" s="340">
        <f>72.5*E406/100</f>
        <v>0.79749999999999999</v>
      </c>
      <c r="H406" s="340">
        <f>1.3*E406/100</f>
        <v>1.4300000000000002E-2</v>
      </c>
      <c r="I406" s="345">
        <f>661*E406/100</f>
        <v>7.2709999999999999</v>
      </c>
      <c r="J406" s="346">
        <v>0</v>
      </c>
      <c r="K406" s="483"/>
      <c r="L406" s="365"/>
      <c r="M406" s="508"/>
    </row>
    <row r="407" spans="1:13" x14ac:dyDescent="0.25">
      <c r="A407" s="782"/>
      <c r="B407" s="406" t="s">
        <v>291</v>
      </c>
      <c r="C407" s="354"/>
      <c r="D407" s="340">
        <v>1.1000000000000001</v>
      </c>
      <c r="E407" s="340">
        <v>1.1000000000000001</v>
      </c>
      <c r="F407" s="340">
        <f>10.3*E407/100</f>
        <v>0.11330000000000001</v>
      </c>
      <c r="G407" s="340">
        <f>1.1*E407/100</f>
        <v>1.2100000000000001E-2</v>
      </c>
      <c r="H407" s="340">
        <f>69*E407/100</f>
        <v>0.75900000000000001</v>
      </c>
      <c r="I407" s="345">
        <f>334*E407/100</f>
        <v>3.6740000000000004</v>
      </c>
      <c r="J407" s="346">
        <v>0</v>
      </c>
      <c r="K407" s="483"/>
      <c r="L407" s="365"/>
      <c r="M407" s="508"/>
    </row>
    <row r="408" spans="1:13" x14ac:dyDescent="0.25">
      <c r="A408" s="782"/>
      <c r="B408" s="406" t="s">
        <v>229</v>
      </c>
      <c r="C408" s="354"/>
      <c r="D408" s="340">
        <v>12.5</v>
      </c>
      <c r="E408" s="340">
        <v>12.5</v>
      </c>
      <c r="F408" s="340">
        <v>0</v>
      </c>
      <c r="G408" s="340">
        <v>0</v>
      </c>
      <c r="H408" s="340">
        <v>0</v>
      </c>
      <c r="I408" s="345">
        <v>0</v>
      </c>
      <c r="J408" s="346">
        <v>0</v>
      </c>
      <c r="K408" s="483"/>
      <c r="L408" s="365"/>
      <c r="M408" s="508"/>
    </row>
    <row r="409" spans="1:13" x14ac:dyDescent="0.25">
      <c r="A409" s="782"/>
      <c r="B409" s="406" t="s">
        <v>299</v>
      </c>
      <c r="C409" s="354"/>
      <c r="D409" s="340">
        <v>2</v>
      </c>
      <c r="E409" s="340">
        <v>2</v>
      </c>
      <c r="F409" s="340">
        <v>0</v>
      </c>
      <c r="G409" s="340">
        <v>0</v>
      </c>
      <c r="H409" s="340">
        <v>19.98</v>
      </c>
      <c r="I409" s="345">
        <v>75.8</v>
      </c>
      <c r="J409" s="346">
        <v>0</v>
      </c>
      <c r="K409" s="483"/>
      <c r="L409" s="365"/>
      <c r="M409" s="508"/>
    </row>
    <row r="410" spans="1:13" x14ac:dyDescent="0.25">
      <c r="A410" s="782"/>
      <c r="B410" s="406" t="s">
        <v>300</v>
      </c>
      <c r="C410" s="354"/>
      <c r="D410" s="340">
        <v>1E-3</v>
      </c>
      <c r="E410" s="340">
        <v>1E-3</v>
      </c>
      <c r="F410" s="340">
        <v>0</v>
      </c>
      <c r="G410" s="340">
        <v>0</v>
      </c>
      <c r="H410" s="340">
        <v>0</v>
      </c>
      <c r="I410" s="345">
        <v>0</v>
      </c>
      <c r="J410" s="346">
        <v>0</v>
      </c>
      <c r="K410" s="483"/>
      <c r="L410" s="365"/>
      <c r="M410" s="508"/>
    </row>
    <row r="411" spans="1:13" x14ac:dyDescent="0.25">
      <c r="A411" s="782"/>
      <c r="B411" s="406"/>
      <c r="C411" s="408"/>
      <c r="D411" s="391"/>
      <c r="E411" s="391"/>
      <c r="F411" s="679">
        <f>SUM(F405:F410)</f>
        <v>0.47209999999999996</v>
      </c>
      <c r="G411" s="679">
        <f>SUM(G405:G410)</f>
        <v>1.2096</v>
      </c>
      <c r="H411" s="679">
        <f>SUM(H405:H410)</f>
        <v>21.340800000000002</v>
      </c>
      <c r="I411" s="680">
        <f>SUM(I405:I410)</f>
        <v>93.995000000000005</v>
      </c>
      <c r="J411" s="681">
        <f>SUM(J405:J410)</f>
        <v>0.16250000000000001</v>
      </c>
      <c r="K411" s="485"/>
      <c r="L411" s="365"/>
      <c r="M411" s="508"/>
    </row>
    <row r="412" spans="1:13" x14ac:dyDescent="0.25">
      <c r="A412" s="782"/>
      <c r="B412" s="350" t="s">
        <v>348</v>
      </c>
      <c r="C412" s="339">
        <v>150</v>
      </c>
      <c r="D412" s="340">
        <v>155</v>
      </c>
      <c r="E412" s="340">
        <v>150</v>
      </c>
      <c r="F412" s="417">
        <f>2.8*E412/100</f>
        <v>4.2</v>
      </c>
      <c r="G412" s="417">
        <f>3.2*E412/100</f>
        <v>4.8</v>
      </c>
      <c r="H412" s="417">
        <f>4.7*E412/100</f>
        <v>7.05</v>
      </c>
      <c r="I412" s="418">
        <f>58*E412/100</f>
        <v>87</v>
      </c>
      <c r="J412" s="419">
        <f>1.3*E412/100</f>
        <v>1.95</v>
      </c>
      <c r="K412" s="479" t="s">
        <v>349</v>
      </c>
      <c r="L412" s="365"/>
      <c r="M412" s="366"/>
    </row>
    <row r="413" spans="1:13" x14ac:dyDescent="0.25">
      <c r="A413" s="5"/>
      <c r="B413" s="254" t="s">
        <v>46</v>
      </c>
      <c r="C413" s="254"/>
      <c r="D413" s="187"/>
      <c r="E413" s="187"/>
      <c r="F413" s="142">
        <f>F402+F411+F412</f>
        <v>10.0776</v>
      </c>
      <c r="G413" s="142">
        <f>G402+G411+G412</f>
        <v>13.1296</v>
      </c>
      <c r="H413" s="142">
        <f>H402+H411+H412</f>
        <v>53.040300000000002</v>
      </c>
      <c r="I413" s="142">
        <f>I402+I411+I412</f>
        <v>363.31100000000004</v>
      </c>
      <c r="J413" s="142">
        <f>J402+J411+J412</f>
        <v>2.2945000000000002</v>
      </c>
      <c r="K413" s="158"/>
      <c r="L413" s="365"/>
      <c r="M413" s="371" t="e">
        <f>SUM(M404,#REF!)</f>
        <v>#REF!</v>
      </c>
    </row>
    <row r="414" spans="1:13" ht="15" hidden="1" customHeight="1" x14ac:dyDescent="0.25">
      <c r="A414" s="5"/>
      <c r="B414" s="107"/>
      <c r="C414" s="107"/>
      <c r="D414" s="63"/>
      <c r="E414" s="63"/>
      <c r="F414" s="63"/>
      <c r="G414" s="63"/>
      <c r="H414" s="63"/>
      <c r="I414" s="63"/>
      <c r="J414" s="96"/>
      <c r="K414" s="126"/>
      <c r="L414" s="74"/>
      <c r="M414" s="80" t="e">
        <f>SUM(M343,M390,M413)</f>
        <v>#REF!</v>
      </c>
    </row>
    <row r="415" spans="1:13" ht="15" hidden="1" customHeight="1" x14ac:dyDescent="0.25">
      <c r="A415" s="5"/>
      <c r="B415" s="107"/>
      <c r="C415" s="107"/>
      <c r="D415" s="63"/>
      <c r="E415" s="63"/>
      <c r="F415" s="118"/>
      <c r="G415" s="118"/>
      <c r="H415" s="118"/>
      <c r="I415" s="118"/>
      <c r="J415" s="118"/>
      <c r="K415" s="153"/>
      <c r="L415" s="65"/>
      <c r="M415" s="72"/>
    </row>
    <row r="416" spans="1:13" ht="15" hidden="1" customHeight="1" x14ac:dyDescent="0.25">
      <c r="A416" s="20"/>
      <c r="B416" s="177"/>
      <c r="C416" s="178"/>
      <c r="D416" s="178"/>
      <c r="E416" s="178"/>
      <c r="F416" s="276"/>
      <c r="G416" s="276"/>
      <c r="H416" s="276"/>
      <c r="I416" s="276"/>
      <c r="J416" s="277"/>
      <c r="K416" s="156"/>
      <c r="L416" s="65"/>
      <c r="M416" s="71"/>
    </row>
    <row r="417" spans="1:13" ht="25.5" x14ac:dyDescent="0.25">
      <c r="A417" s="535" t="s">
        <v>117</v>
      </c>
      <c r="B417" s="146"/>
      <c r="C417" s="22"/>
      <c r="D417" s="23"/>
      <c r="E417" s="23"/>
      <c r="F417" s="275">
        <f>F413+F390+F340</f>
        <v>40.647900000000007</v>
      </c>
      <c r="G417" s="275">
        <f>G413+G390+G340</f>
        <v>44.386099999999999</v>
      </c>
      <c r="H417" s="275">
        <f>H413+H390+H340</f>
        <v>187.45859999999999</v>
      </c>
      <c r="I417" s="275">
        <f>I413+I390+I340</f>
        <v>1304.01</v>
      </c>
      <c r="J417" s="275">
        <f>J413+J390+J340</f>
        <v>41.459500000000006</v>
      </c>
      <c r="K417" s="24"/>
      <c r="L417" s="74"/>
      <c r="M417" s="80">
        <f>SUM(M340,M390,M398,M416)</f>
        <v>51.652023999999997</v>
      </c>
    </row>
    <row r="418" spans="1:13" x14ac:dyDescent="0.25">
      <c r="A418" s="5" t="s">
        <v>118</v>
      </c>
      <c r="B418" s="13"/>
      <c r="C418" s="13"/>
      <c r="D418" s="63"/>
      <c r="E418" s="63"/>
      <c r="F418" s="13"/>
      <c r="G418" s="13"/>
      <c r="H418" s="13"/>
      <c r="I418" s="13"/>
      <c r="J418" s="96"/>
      <c r="K418" s="125"/>
      <c r="L418" s="65"/>
      <c r="M418" s="64"/>
    </row>
    <row r="419" spans="1:13" x14ac:dyDescent="0.25">
      <c r="A419" s="5" t="s">
        <v>119</v>
      </c>
      <c r="B419" s="13"/>
      <c r="C419" s="13"/>
      <c r="D419" s="105"/>
      <c r="E419" s="106"/>
      <c r="F419" s="63"/>
      <c r="G419" s="63"/>
      <c r="H419" s="63"/>
      <c r="I419" s="63"/>
      <c r="J419" s="96"/>
      <c r="K419" s="125"/>
      <c r="L419" s="65"/>
      <c r="M419" s="64"/>
    </row>
    <row r="420" spans="1:13" ht="29.25" x14ac:dyDescent="0.25">
      <c r="A420" s="781"/>
      <c r="B420" s="338" t="s">
        <v>253</v>
      </c>
      <c r="C420" s="363">
        <v>200</v>
      </c>
      <c r="D420" s="340"/>
      <c r="E420" s="340"/>
      <c r="F420" s="729">
        <v>8.5204000000000004</v>
      </c>
      <c r="G420" s="729">
        <v>5.5195999999999996</v>
      </c>
      <c r="H420" s="729">
        <v>44.833100000000002</v>
      </c>
      <c r="I420" s="729">
        <v>261.464</v>
      </c>
      <c r="J420" s="729">
        <v>17329</v>
      </c>
      <c r="K420" s="125" t="s">
        <v>255</v>
      </c>
      <c r="L420" s="65"/>
      <c r="M420" s="64"/>
    </row>
    <row r="421" spans="1:13" x14ac:dyDescent="0.25">
      <c r="A421" s="782"/>
      <c r="B421" s="342" t="s">
        <v>254</v>
      </c>
      <c r="C421" s="343"/>
      <c r="D421" s="340">
        <v>38</v>
      </c>
      <c r="E421" s="340">
        <v>38</v>
      </c>
      <c r="F421" s="347">
        <v>4.7880000000000003</v>
      </c>
      <c r="G421" s="347">
        <v>1.254</v>
      </c>
      <c r="H421" s="347">
        <v>23.597999999999999</v>
      </c>
      <c r="I421" s="395">
        <v>127.3</v>
      </c>
      <c r="J421" s="396">
        <v>0</v>
      </c>
      <c r="K421" s="125"/>
      <c r="L421" s="65"/>
      <c r="M421" s="64"/>
    </row>
    <row r="422" spans="1:13" x14ac:dyDescent="0.25">
      <c r="A422" s="782"/>
      <c r="B422" s="342" t="s">
        <v>229</v>
      </c>
      <c r="C422" s="354"/>
      <c r="D422" s="340">
        <v>28.6</v>
      </c>
      <c r="E422" s="340">
        <v>28.6</v>
      </c>
      <c r="F422" s="340">
        <v>0</v>
      </c>
      <c r="G422" s="340">
        <v>0</v>
      </c>
      <c r="H422" s="340">
        <v>0</v>
      </c>
      <c r="I422" s="345">
        <v>0</v>
      </c>
      <c r="J422" s="346">
        <v>0</v>
      </c>
      <c r="K422" s="125"/>
      <c r="L422" s="65"/>
      <c r="M422" s="64"/>
    </row>
    <row r="423" spans="1:13" x14ac:dyDescent="0.25">
      <c r="A423" s="782"/>
      <c r="B423" s="342" t="s">
        <v>401</v>
      </c>
      <c r="C423" s="354"/>
      <c r="D423" s="340">
        <v>15</v>
      </c>
      <c r="E423" s="340">
        <v>15</v>
      </c>
      <c r="F423" s="341">
        <v>0</v>
      </c>
      <c r="G423" s="341">
        <v>0</v>
      </c>
      <c r="H423" s="341">
        <v>14.97</v>
      </c>
      <c r="I423" s="348">
        <v>56.85</v>
      </c>
      <c r="J423" s="349">
        <v>0</v>
      </c>
      <c r="K423" s="125"/>
      <c r="L423" s="65"/>
      <c r="M423" s="64"/>
    </row>
    <row r="424" spans="1:13" x14ac:dyDescent="0.25">
      <c r="A424" s="782"/>
      <c r="B424" s="342" t="s">
        <v>231</v>
      </c>
      <c r="C424" s="363"/>
      <c r="D424" s="340">
        <v>0.3</v>
      </c>
      <c r="E424" s="340">
        <v>0.3</v>
      </c>
      <c r="F424" s="340">
        <v>0</v>
      </c>
      <c r="G424" s="340">
        <v>0</v>
      </c>
      <c r="H424" s="340">
        <v>0</v>
      </c>
      <c r="I424" s="340">
        <v>0</v>
      </c>
      <c r="J424" s="340">
        <v>0</v>
      </c>
      <c r="K424" s="125"/>
      <c r="L424" s="65"/>
      <c r="M424" s="64"/>
    </row>
    <row r="425" spans="1:13" x14ac:dyDescent="0.25">
      <c r="A425" s="782"/>
      <c r="B425" s="442" t="s">
        <v>23</v>
      </c>
      <c r="C425" s="105">
        <v>40</v>
      </c>
      <c r="D425" s="13"/>
      <c r="E425" s="123"/>
      <c r="F425" s="110"/>
      <c r="G425" s="110"/>
      <c r="H425" s="110"/>
      <c r="I425" s="110"/>
      <c r="J425" s="97"/>
      <c r="K425" s="112" t="s">
        <v>24</v>
      </c>
      <c r="L425" s="65"/>
      <c r="M425" s="64"/>
    </row>
    <row r="426" spans="1:13" ht="15" customHeight="1" x14ac:dyDescent="0.25">
      <c r="A426" s="782"/>
      <c r="B426" s="173" t="s">
        <v>21</v>
      </c>
      <c r="C426" s="194"/>
      <c r="D426" s="63">
        <v>10</v>
      </c>
      <c r="E426" s="63">
        <v>10</v>
      </c>
      <c r="F426" s="63">
        <v>0.08</v>
      </c>
      <c r="G426" s="63">
        <v>7.25</v>
      </c>
      <c r="H426" s="63">
        <v>0.13</v>
      </c>
      <c r="I426" s="63">
        <v>66.099999999999994</v>
      </c>
      <c r="J426" s="231">
        <v>0</v>
      </c>
      <c r="K426" s="112"/>
      <c r="L426" s="114">
        <v>16.62</v>
      </c>
      <c r="M426" s="68" t="e">
        <f>SUM(L426*#REF!)/1000</f>
        <v>#REF!</v>
      </c>
    </row>
    <row r="427" spans="1:13" x14ac:dyDescent="0.25">
      <c r="A427" s="782"/>
      <c r="B427" s="107" t="s">
        <v>106</v>
      </c>
      <c r="C427" s="194"/>
      <c r="D427" s="63">
        <v>30</v>
      </c>
      <c r="E427" s="63">
        <v>30</v>
      </c>
      <c r="F427" s="63">
        <v>2.31</v>
      </c>
      <c r="G427" s="63">
        <v>0.9</v>
      </c>
      <c r="H427" s="63">
        <v>14.94</v>
      </c>
      <c r="I427" s="63">
        <v>78.599999999999994</v>
      </c>
      <c r="J427" s="231">
        <v>0</v>
      </c>
      <c r="K427" s="112"/>
      <c r="L427" s="114"/>
      <c r="M427" s="68"/>
    </row>
    <row r="428" spans="1:13" ht="15" hidden="1" customHeight="1" x14ac:dyDescent="0.25">
      <c r="A428" s="649"/>
      <c r="B428" s="124"/>
      <c r="C428" s="124"/>
      <c r="D428" s="63"/>
      <c r="E428" s="63"/>
      <c r="F428" s="130"/>
      <c r="G428" s="130"/>
      <c r="H428" s="130"/>
      <c r="I428" s="130"/>
      <c r="J428" s="131"/>
      <c r="K428" s="162"/>
      <c r="L428" s="65"/>
      <c r="M428" s="67"/>
    </row>
    <row r="429" spans="1:13" ht="15" customHeight="1" x14ac:dyDescent="0.25">
      <c r="A429" s="724"/>
      <c r="B429" s="726" t="s">
        <v>384</v>
      </c>
      <c r="C429" s="105" t="s">
        <v>187</v>
      </c>
      <c r="D429" s="13"/>
      <c r="E429" s="13"/>
      <c r="F429" s="13"/>
      <c r="G429" s="13"/>
      <c r="H429" s="13"/>
      <c r="I429" s="13"/>
      <c r="J429" s="96"/>
      <c r="K429" s="125" t="s">
        <v>188</v>
      </c>
      <c r="L429" s="65"/>
      <c r="M429" s="67"/>
    </row>
    <row r="430" spans="1:13" ht="15" customHeight="1" x14ac:dyDescent="0.25">
      <c r="A430" s="724"/>
      <c r="B430" s="726" t="s">
        <v>184</v>
      </c>
      <c r="C430" s="124"/>
      <c r="D430" s="13">
        <v>30</v>
      </c>
      <c r="E430" s="13">
        <v>30</v>
      </c>
      <c r="F430" s="13"/>
      <c r="G430" s="13"/>
      <c r="H430" s="13"/>
      <c r="I430" s="13"/>
      <c r="J430" s="96"/>
      <c r="K430" s="125"/>
      <c r="L430" s="65"/>
      <c r="M430" s="67"/>
    </row>
    <row r="431" spans="1:13" ht="15" customHeight="1" x14ac:dyDescent="0.25">
      <c r="A431" s="724"/>
      <c r="B431" s="107" t="s">
        <v>141</v>
      </c>
      <c r="C431" s="124"/>
      <c r="D431" s="63">
        <v>92</v>
      </c>
      <c r="E431" s="63">
        <v>92</v>
      </c>
      <c r="F431" s="63">
        <v>0</v>
      </c>
      <c r="G431" s="63">
        <v>2.34</v>
      </c>
      <c r="H431" s="63">
        <v>14.31</v>
      </c>
      <c r="I431" s="63">
        <v>8.9</v>
      </c>
      <c r="J431" s="96">
        <v>1.2</v>
      </c>
      <c r="K431" s="125"/>
      <c r="L431" s="65"/>
      <c r="M431" s="67"/>
    </row>
    <row r="432" spans="1:13" ht="15" customHeight="1" x14ac:dyDescent="0.25">
      <c r="A432" s="724"/>
      <c r="B432" s="107" t="s">
        <v>185</v>
      </c>
      <c r="C432" s="107"/>
      <c r="D432" s="63">
        <v>0.3</v>
      </c>
      <c r="E432" s="63">
        <v>0.3</v>
      </c>
      <c r="F432" s="63">
        <v>2.67</v>
      </c>
      <c r="G432" s="63">
        <v>0</v>
      </c>
      <c r="H432" s="63">
        <v>2.07E-2</v>
      </c>
      <c r="I432" s="63">
        <v>0.45540000000000003</v>
      </c>
      <c r="J432" s="96">
        <v>0.03</v>
      </c>
      <c r="K432" s="126"/>
      <c r="L432" s="65"/>
      <c r="M432" s="67"/>
    </row>
    <row r="433" spans="1:13" ht="15" customHeight="1" x14ac:dyDescent="0.25">
      <c r="A433" s="724"/>
      <c r="B433" s="107" t="s">
        <v>49</v>
      </c>
      <c r="C433" s="107"/>
      <c r="D433" s="63">
        <v>10</v>
      </c>
      <c r="E433" s="63">
        <v>10</v>
      </c>
      <c r="F433" s="63">
        <v>0</v>
      </c>
      <c r="G433" s="63">
        <v>0</v>
      </c>
      <c r="H433" s="63">
        <v>9.98</v>
      </c>
      <c r="I433" s="63">
        <v>37.9</v>
      </c>
      <c r="J433" s="96">
        <v>0</v>
      </c>
      <c r="K433" s="126"/>
      <c r="L433" s="65"/>
      <c r="M433" s="67"/>
    </row>
    <row r="434" spans="1:13" x14ac:dyDescent="0.25">
      <c r="A434" s="570"/>
      <c r="B434" s="107" t="s">
        <v>19</v>
      </c>
      <c r="C434" s="107"/>
      <c r="D434" s="63">
        <v>60</v>
      </c>
      <c r="E434" s="63">
        <v>60</v>
      </c>
      <c r="F434" s="63">
        <v>0</v>
      </c>
      <c r="G434" s="63">
        <v>0</v>
      </c>
      <c r="H434" s="63">
        <v>0</v>
      </c>
      <c r="I434" s="63">
        <v>0</v>
      </c>
      <c r="J434" s="96">
        <v>0</v>
      </c>
      <c r="K434" s="126"/>
      <c r="L434" s="65">
        <v>55.58</v>
      </c>
      <c r="M434" s="69">
        <f>SUM(L434*D434)/1000</f>
        <v>3.3347999999999995</v>
      </c>
    </row>
    <row r="435" spans="1:13" x14ac:dyDescent="0.25">
      <c r="A435" s="651"/>
      <c r="B435" s="107"/>
      <c r="C435" s="107"/>
      <c r="D435" s="63"/>
      <c r="E435" s="63"/>
      <c r="F435" s="274">
        <f>SUM(F430:F434)</f>
        <v>2.67</v>
      </c>
      <c r="G435" s="274">
        <f>SUM(G430:G434)</f>
        <v>2.34</v>
      </c>
      <c r="H435" s="274">
        <f>SUM(H430:H434)</f>
        <v>24.310700000000001</v>
      </c>
      <c r="I435" s="274">
        <f>SUM(I430:I434)</f>
        <v>47.255399999999995</v>
      </c>
      <c r="J435" s="274">
        <f>SUM(J430:J434)</f>
        <v>1.23</v>
      </c>
      <c r="K435" s="153"/>
      <c r="L435" s="65"/>
      <c r="M435" s="311"/>
    </row>
    <row r="436" spans="1:13" x14ac:dyDescent="0.25">
      <c r="A436" s="570" t="s">
        <v>403</v>
      </c>
      <c r="B436" s="107" t="s">
        <v>404</v>
      </c>
      <c r="C436" s="107">
        <v>100</v>
      </c>
      <c r="D436" s="63">
        <v>100</v>
      </c>
      <c r="E436" s="63">
        <v>100</v>
      </c>
      <c r="F436" s="734">
        <v>1.5</v>
      </c>
      <c r="G436" s="734">
        <v>0.5</v>
      </c>
      <c r="H436" s="734">
        <v>21</v>
      </c>
      <c r="I436" s="734">
        <v>96</v>
      </c>
      <c r="J436" s="734">
        <v>10</v>
      </c>
      <c r="K436" s="153"/>
      <c r="L436" s="65"/>
      <c r="M436" s="311"/>
    </row>
    <row r="437" spans="1:13" x14ac:dyDescent="0.25">
      <c r="B437" s="570" t="s">
        <v>26</v>
      </c>
      <c r="C437" s="107"/>
      <c r="D437" s="63"/>
      <c r="E437" s="63"/>
      <c r="F437" s="276">
        <f>SUM(F435:F436)</f>
        <v>4.17</v>
      </c>
      <c r="G437" s="276">
        <f>SUM(G435:G436)</f>
        <v>2.84</v>
      </c>
      <c r="H437" s="276">
        <f>SUM(H435:H436)</f>
        <v>45.310699999999997</v>
      </c>
      <c r="I437" s="276">
        <f>SUM(I435:I436)</f>
        <v>143.25540000000001</v>
      </c>
      <c r="J437" s="276">
        <f>SUM(J435:J436)</f>
        <v>11.23</v>
      </c>
      <c r="K437" s="735"/>
      <c r="L437" s="65"/>
      <c r="M437" s="311"/>
    </row>
    <row r="438" spans="1:13" x14ac:dyDescent="0.25">
      <c r="A438" s="5" t="s">
        <v>58</v>
      </c>
      <c r="B438" s="64"/>
      <c r="C438" s="64"/>
      <c r="D438" s="64"/>
      <c r="E438" s="64"/>
      <c r="F438" s="64"/>
      <c r="G438" s="64"/>
      <c r="H438" s="64"/>
      <c r="I438" s="64"/>
      <c r="J438" s="64"/>
      <c r="K438" s="162"/>
      <c r="L438" s="65"/>
      <c r="M438" s="64"/>
    </row>
    <row r="439" spans="1:13" ht="29.25" x14ac:dyDescent="0.25">
      <c r="A439" s="820"/>
      <c r="B439" s="732" t="s">
        <v>275</v>
      </c>
      <c r="C439" s="390">
        <v>200</v>
      </c>
      <c r="D439" s="505"/>
      <c r="E439" s="391"/>
      <c r="F439" s="653"/>
      <c r="G439" s="653"/>
      <c r="H439" s="653"/>
      <c r="I439" s="653"/>
      <c r="J439" s="653"/>
      <c r="K439" s="733" t="s">
        <v>277</v>
      </c>
      <c r="L439" s="65"/>
      <c r="M439" s="64"/>
    </row>
    <row r="440" spans="1:13" x14ac:dyDescent="0.25">
      <c r="A440" s="820"/>
      <c r="B440" s="353" t="s">
        <v>237</v>
      </c>
      <c r="C440" s="343"/>
      <c r="D440" s="340">
        <v>80</v>
      </c>
      <c r="E440" s="340">
        <v>60</v>
      </c>
      <c r="F440" s="340">
        <f>E440*2/100</f>
        <v>1.2</v>
      </c>
      <c r="G440" s="340">
        <f>0.4*E440/100</f>
        <v>0.24</v>
      </c>
      <c r="H440" s="340">
        <f>16.3*E440/100</f>
        <v>9.7799999999999994</v>
      </c>
      <c r="I440" s="340">
        <f>77*E440/100</f>
        <v>46.2</v>
      </c>
      <c r="J440" s="346">
        <v>12</v>
      </c>
      <c r="K440" s="480"/>
      <c r="L440" s="114">
        <v>21.89</v>
      </c>
      <c r="M440" s="68">
        <f t="shared" ref="M440:M443" si="15">SUM(L440*D440)/1000</f>
        <v>1.7512000000000001</v>
      </c>
    </row>
    <row r="441" spans="1:13" x14ac:dyDescent="0.25">
      <c r="A441" s="820"/>
      <c r="B441" s="353" t="s">
        <v>276</v>
      </c>
      <c r="C441" s="343"/>
      <c r="D441" s="340">
        <v>8</v>
      </c>
      <c r="E441" s="340">
        <v>8</v>
      </c>
      <c r="F441" s="340">
        <f>10.4*E441/100</f>
        <v>0.83200000000000007</v>
      </c>
      <c r="G441" s="340">
        <f>1.1*E441/100</f>
        <v>8.8000000000000009E-2</v>
      </c>
      <c r="H441" s="340">
        <f>69.7*E441/100</f>
        <v>5.5760000000000005</v>
      </c>
      <c r="I441" s="340">
        <f>337*E441/100</f>
        <v>26.96</v>
      </c>
      <c r="J441" s="346">
        <v>0</v>
      </c>
      <c r="K441" s="480"/>
      <c r="L441" s="114">
        <v>39.630000000000003</v>
      </c>
      <c r="M441" s="68">
        <f t="shared" si="15"/>
        <v>0.31704000000000004</v>
      </c>
    </row>
    <row r="442" spans="1:13" x14ac:dyDescent="0.25">
      <c r="A442" s="820"/>
      <c r="B442" s="353" t="s">
        <v>239</v>
      </c>
      <c r="C442" s="343"/>
      <c r="D442" s="340">
        <v>10</v>
      </c>
      <c r="E442" s="340">
        <v>8</v>
      </c>
      <c r="F442" s="340">
        <f>1.4*E442/100</f>
        <v>0.11199999999999999</v>
      </c>
      <c r="G442" s="340">
        <v>0</v>
      </c>
      <c r="H442" s="340">
        <f>8.2*E442/100</f>
        <v>0.65599999999999992</v>
      </c>
      <c r="I442" s="340">
        <f>8.2*E442/100</f>
        <v>0.65599999999999992</v>
      </c>
      <c r="J442" s="346">
        <v>0.8</v>
      </c>
      <c r="K442" s="480"/>
      <c r="L442" s="114">
        <v>21.98</v>
      </c>
      <c r="M442" s="68">
        <f t="shared" si="15"/>
        <v>0.21980000000000002</v>
      </c>
    </row>
    <row r="443" spans="1:13" x14ac:dyDescent="0.25">
      <c r="A443" s="820"/>
      <c r="B443" s="353" t="s">
        <v>238</v>
      </c>
      <c r="C443" s="343"/>
      <c r="D443" s="340">
        <v>10</v>
      </c>
      <c r="E443" s="340">
        <v>8</v>
      </c>
      <c r="F443" s="340">
        <f>1.3*E443/100</f>
        <v>0.10400000000000001</v>
      </c>
      <c r="G443" s="340">
        <v>0</v>
      </c>
      <c r="H443" s="340">
        <f>6.9*E443/100</f>
        <v>0.55200000000000005</v>
      </c>
      <c r="I443" s="340">
        <f>35*E443/100</f>
        <v>2.8</v>
      </c>
      <c r="J443" s="346">
        <v>0.4</v>
      </c>
      <c r="K443" s="480"/>
      <c r="L443" s="114">
        <v>38.5</v>
      </c>
      <c r="M443" s="68">
        <f t="shared" si="15"/>
        <v>0.38500000000000001</v>
      </c>
    </row>
    <row r="444" spans="1:13" x14ac:dyDescent="0.25">
      <c r="A444" s="820"/>
      <c r="B444" s="353" t="s">
        <v>241</v>
      </c>
      <c r="C444" s="343"/>
      <c r="D444" s="340">
        <v>2</v>
      </c>
      <c r="E444" s="340">
        <v>2</v>
      </c>
      <c r="F444" s="340">
        <v>0</v>
      </c>
      <c r="G444" s="340">
        <f>99.9*E444/100</f>
        <v>1.9980000000000002</v>
      </c>
      <c r="H444" s="340">
        <v>0</v>
      </c>
      <c r="I444" s="340">
        <f>899*E444/100</f>
        <v>17.98</v>
      </c>
      <c r="J444" s="346">
        <v>0</v>
      </c>
      <c r="K444" s="480"/>
      <c r="L444" s="114">
        <v>92.2</v>
      </c>
      <c r="M444" s="68">
        <f>SUM(L444*D444)/1000</f>
        <v>0.18440000000000001</v>
      </c>
    </row>
    <row r="445" spans="1:13" x14ac:dyDescent="0.25">
      <c r="A445" s="820"/>
      <c r="B445" s="353" t="s">
        <v>231</v>
      </c>
      <c r="C445" s="343"/>
      <c r="D445" s="340">
        <v>1.3</v>
      </c>
      <c r="E445" s="340">
        <v>1.3</v>
      </c>
      <c r="F445" s="340">
        <v>0</v>
      </c>
      <c r="G445" s="340">
        <v>0</v>
      </c>
      <c r="H445" s="340">
        <v>0</v>
      </c>
      <c r="I445" s="340">
        <v>0</v>
      </c>
      <c r="J445" s="346">
        <v>0</v>
      </c>
      <c r="K445" s="480"/>
      <c r="L445" s="114">
        <v>16.62</v>
      </c>
      <c r="M445" s="68">
        <f>SUM(L445*D445)/1000</f>
        <v>2.1606E-2</v>
      </c>
    </row>
    <row r="446" spans="1:13" x14ac:dyDescent="0.25">
      <c r="A446" s="820"/>
      <c r="B446" s="353" t="s">
        <v>229</v>
      </c>
      <c r="C446" s="343"/>
      <c r="D446" s="340">
        <v>140</v>
      </c>
      <c r="E446" s="340">
        <v>140</v>
      </c>
      <c r="F446" s="340">
        <v>0</v>
      </c>
      <c r="G446" s="340">
        <v>0</v>
      </c>
      <c r="H446" s="340">
        <v>0</v>
      </c>
      <c r="I446" s="340">
        <v>0</v>
      </c>
      <c r="J446" s="346">
        <v>0</v>
      </c>
      <c r="K446" s="480"/>
      <c r="L446" s="114"/>
      <c r="M446" s="68"/>
    </row>
    <row r="447" spans="1:13" x14ac:dyDescent="0.25">
      <c r="A447" s="820"/>
      <c r="B447" s="107"/>
      <c r="C447" s="107"/>
      <c r="D447" s="63"/>
      <c r="E447" s="63"/>
      <c r="F447" s="118">
        <f>SUM(F440:F446)</f>
        <v>2.2480000000000002</v>
      </c>
      <c r="G447" s="118">
        <f>SUM(G440:G446)</f>
        <v>2.3260000000000001</v>
      </c>
      <c r="H447" s="118">
        <f>SUM(H440:H446)</f>
        <v>16.564</v>
      </c>
      <c r="I447" s="118">
        <f>SUM(I440:I446)</f>
        <v>94.596000000000004</v>
      </c>
      <c r="J447" s="139">
        <f>SUM(J440:J446)</f>
        <v>13.200000000000001</v>
      </c>
      <c r="K447" s="126"/>
      <c r="L447" s="114"/>
      <c r="M447" s="68"/>
    </row>
    <row r="448" spans="1:13" x14ac:dyDescent="0.25">
      <c r="A448" s="820"/>
      <c r="B448" s="443" t="s">
        <v>305</v>
      </c>
      <c r="C448" s="339" t="s">
        <v>326</v>
      </c>
      <c r="D448" s="340"/>
      <c r="E448" s="340"/>
      <c r="F448" s="667"/>
      <c r="G448" s="667"/>
      <c r="H448" s="667"/>
      <c r="I448" s="667"/>
      <c r="J448" s="667"/>
      <c r="K448" s="483" t="s">
        <v>325</v>
      </c>
      <c r="L448" s="65"/>
      <c r="M448" s="64"/>
    </row>
    <row r="449" spans="1:13" x14ac:dyDescent="0.25">
      <c r="A449" s="820"/>
      <c r="B449" s="441" t="s">
        <v>260</v>
      </c>
      <c r="C449" s="354"/>
      <c r="D449" s="340">
        <v>117.6</v>
      </c>
      <c r="E449" s="340">
        <v>85</v>
      </c>
      <c r="F449" s="340">
        <f>18.7*E449/100</f>
        <v>15.895</v>
      </c>
      <c r="G449" s="340">
        <f>16.1*E449/100</f>
        <v>13.685000000000002</v>
      </c>
      <c r="H449" s="340">
        <v>0</v>
      </c>
      <c r="I449" s="345">
        <f>220*E449/100</f>
        <v>187</v>
      </c>
      <c r="J449" s="346">
        <f>2*E449/100</f>
        <v>1.7</v>
      </c>
      <c r="K449" s="483"/>
      <c r="L449" s="114">
        <v>136.62</v>
      </c>
      <c r="M449" s="68">
        <f>SUM(L449*D449)/1000</f>
        <v>16.066511999999999</v>
      </c>
    </row>
    <row r="450" spans="1:13" x14ac:dyDescent="0.25">
      <c r="A450" s="820"/>
      <c r="B450" s="441" t="s">
        <v>287</v>
      </c>
      <c r="C450" s="354"/>
      <c r="D450" s="340">
        <v>2.4</v>
      </c>
      <c r="E450" s="340">
        <v>2.4</v>
      </c>
      <c r="F450" s="340">
        <v>0</v>
      </c>
      <c r="G450" s="340">
        <f>99.9*E450/100</f>
        <v>2.3975999999999997</v>
      </c>
      <c r="H450" s="355">
        <v>0</v>
      </c>
      <c r="I450" s="356">
        <f>899*E450/100</f>
        <v>21.576000000000001</v>
      </c>
      <c r="J450" s="346">
        <v>0</v>
      </c>
      <c r="K450" s="483"/>
      <c r="L450" s="114">
        <v>35</v>
      </c>
      <c r="M450" s="68">
        <f>SUM(L450*D450)/1000</f>
        <v>8.4000000000000005E-2</v>
      </c>
    </row>
    <row r="451" spans="1:13" x14ac:dyDescent="0.25">
      <c r="A451" s="820"/>
      <c r="B451" s="441" t="s">
        <v>231</v>
      </c>
      <c r="C451" s="354"/>
      <c r="D451" s="340">
        <v>0.2</v>
      </c>
      <c r="E451" s="340">
        <v>0.2</v>
      </c>
      <c r="F451" s="340">
        <v>0</v>
      </c>
      <c r="G451" s="340">
        <v>0</v>
      </c>
      <c r="H451" s="340">
        <v>0</v>
      </c>
      <c r="I451" s="345">
        <v>0</v>
      </c>
      <c r="J451" s="346">
        <v>0</v>
      </c>
      <c r="K451" s="483"/>
      <c r="L451" s="114">
        <v>43.22</v>
      </c>
      <c r="M451" s="68">
        <f>SUM(L451*D451)/1000</f>
        <v>8.6440000000000006E-3</v>
      </c>
    </row>
    <row r="452" spans="1:13" x14ac:dyDescent="0.25">
      <c r="A452" s="820"/>
      <c r="B452" s="441" t="s">
        <v>306</v>
      </c>
      <c r="C452" s="354"/>
      <c r="D452" s="340">
        <v>60</v>
      </c>
      <c r="E452" s="340">
        <v>60</v>
      </c>
      <c r="F452" s="340" t="s">
        <v>48</v>
      </c>
      <c r="G452" s="340" t="s">
        <v>48</v>
      </c>
      <c r="H452" s="340" t="s">
        <v>48</v>
      </c>
      <c r="I452" s="345">
        <f>35*E452/100</f>
        <v>21</v>
      </c>
      <c r="J452" s="346" t="s">
        <v>48</v>
      </c>
      <c r="K452" s="483"/>
      <c r="L452" s="114">
        <v>376.98</v>
      </c>
      <c r="M452" s="68">
        <f>SUM(L452*D452)/1000</f>
        <v>22.618800000000004</v>
      </c>
    </row>
    <row r="453" spans="1:13" x14ac:dyDescent="0.25">
      <c r="A453" s="820"/>
      <c r="B453" s="406"/>
      <c r="C453" s="354"/>
      <c r="D453" s="340"/>
      <c r="E453" s="340"/>
      <c r="F453" s="401">
        <f>SUM(F449:F452)</f>
        <v>15.895</v>
      </c>
      <c r="G453" s="401">
        <f>SUM(G449:G452)</f>
        <v>16.082600000000003</v>
      </c>
      <c r="H453" s="401">
        <f>SUM(H449:H452)</f>
        <v>0</v>
      </c>
      <c r="I453" s="429">
        <f>SUM(I449:I452)</f>
        <v>229.57599999999999</v>
      </c>
      <c r="J453" s="668">
        <f>SUM(J449:J452)</f>
        <v>1.7</v>
      </c>
      <c r="K453" s="485"/>
      <c r="L453" s="114"/>
      <c r="M453" s="68"/>
    </row>
    <row r="454" spans="1:13" x14ac:dyDescent="0.25">
      <c r="A454" s="820"/>
      <c r="B454" s="361" t="s">
        <v>245</v>
      </c>
      <c r="C454" s="339">
        <v>60</v>
      </c>
      <c r="D454" s="358"/>
      <c r="E454" s="340"/>
      <c r="F454" s="667"/>
      <c r="G454" s="667"/>
      <c r="H454" s="667"/>
      <c r="I454" s="667"/>
      <c r="J454" s="667"/>
      <c r="K454" s="482" t="s">
        <v>307</v>
      </c>
      <c r="L454" s="114">
        <v>16.62</v>
      </c>
      <c r="M454" s="68">
        <f>SUM(L454*D454)/1000</f>
        <v>0</v>
      </c>
    </row>
    <row r="455" spans="1:13" x14ac:dyDescent="0.25">
      <c r="A455" s="820"/>
      <c r="B455" s="353" t="s">
        <v>246</v>
      </c>
      <c r="C455" s="343"/>
      <c r="D455" s="340">
        <v>60</v>
      </c>
      <c r="E455" s="340">
        <v>60</v>
      </c>
      <c r="F455" s="340">
        <v>0</v>
      </c>
      <c r="G455" s="340">
        <v>0</v>
      </c>
      <c r="H455" s="340">
        <v>0</v>
      </c>
      <c r="I455" s="345">
        <v>0</v>
      </c>
      <c r="J455" s="346">
        <v>0</v>
      </c>
      <c r="K455" s="483"/>
      <c r="L455" s="65"/>
      <c r="M455" s="72">
        <f>SUM(M449:M452)</f>
        <v>38.777956000000003</v>
      </c>
    </row>
    <row r="456" spans="1:13" x14ac:dyDescent="0.25">
      <c r="A456" s="820"/>
      <c r="B456" s="353" t="s">
        <v>241</v>
      </c>
      <c r="C456" s="343"/>
      <c r="D456" s="340">
        <v>1.2</v>
      </c>
      <c r="E456" s="340">
        <v>1.2</v>
      </c>
      <c r="F456" s="340">
        <v>0</v>
      </c>
      <c r="G456" s="340">
        <f>99.9*E456/100</f>
        <v>1.1987999999999999</v>
      </c>
      <c r="H456" s="355">
        <v>0</v>
      </c>
      <c r="I456" s="356">
        <f>899*E456/100</f>
        <v>10.788</v>
      </c>
      <c r="J456" s="346">
        <v>0</v>
      </c>
      <c r="K456" s="483"/>
      <c r="L456" s="65"/>
      <c r="M456" s="64"/>
    </row>
    <row r="457" spans="1:13" x14ac:dyDescent="0.25">
      <c r="A457" s="820"/>
      <c r="B457" s="353" t="s">
        <v>247</v>
      </c>
      <c r="C457" s="354"/>
      <c r="D457" s="340">
        <v>3</v>
      </c>
      <c r="E457" s="340">
        <v>3</v>
      </c>
      <c r="F457" s="340">
        <f>10.3*E457/100</f>
        <v>0.309</v>
      </c>
      <c r="G457" s="340">
        <f>1.1*E457/100</f>
        <v>3.3000000000000002E-2</v>
      </c>
      <c r="H457" s="340">
        <f>69*E457/100</f>
        <v>2.0699999999999998</v>
      </c>
      <c r="I457" s="345">
        <f>334*E457/100</f>
        <v>10.02</v>
      </c>
      <c r="J457" s="346">
        <v>0</v>
      </c>
      <c r="K457" s="483"/>
      <c r="L457" s="114">
        <v>25.38</v>
      </c>
      <c r="M457" s="68">
        <f t="shared" ref="M457:M462" si="16">SUM(L457*D457)/1000</f>
        <v>7.6139999999999999E-2</v>
      </c>
    </row>
    <row r="458" spans="1:13" x14ac:dyDescent="0.25">
      <c r="A458" s="820"/>
      <c r="B458" s="353" t="s">
        <v>240</v>
      </c>
      <c r="C458" s="343"/>
      <c r="D458" s="340">
        <v>2.4</v>
      </c>
      <c r="E458" s="340">
        <v>2.4</v>
      </c>
      <c r="F458" s="340">
        <f>4.8*E458/100</f>
        <v>0.1152</v>
      </c>
      <c r="G458" s="340">
        <v>0</v>
      </c>
      <c r="H458" s="340">
        <f>19*E458/100</f>
        <v>0.45600000000000002</v>
      </c>
      <c r="I458" s="345">
        <f>102*E458/100</f>
        <v>2.448</v>
      </c>
      <c r="J458" s="346">
        <f>45*E458/100</f>
        <v>1.08</v>
      </c>
      <c r="K458" s="483"/>
      <c r="L458" s="114">
        <v>21.98</v>
      </c>
      <c r="M458" s="68">
        <f t="shared" si="16"/>
        <v>5.2752E-2</v>
      </c>
    </row>
    <row r="459" spans="1:13" x14ac:dyDescent="0.25">
      <c r="A459" s="820"/>
      <c r="B459" s="353" t="s">
        <v>238</v>
      </c>
      <c r="C459" s="343"/>
      <c r="D459" s="340">
        <v>6</v>
      </c>
      <c r="E459" s="340">
        <v>4.8</v>
      </c>
      <c r="F459" s="340">
        <f>1.3*E459/100</f>
        <v>6.2400000000000004E-2</v>
      </c>
      <c r="G459" s="340">
        <f>0.1*E459/100</f>
        <v>4.7999999999999996E-3</v>
      </c>
      <c r="H459" s="355">
        <f>6.9*E459/100</f>
        <v>0.33119999999999999</v>
      </c>
      <c r="I459" s="356">
        <f>35*E459/100</f>
        <v>1.68</v>
      </c>
      <c r="J459" s="346">
        <f>5*E459/100</f>
        <v>0.24</v>
      </c>
      <c r="K459" s="483"/>
      <c r="L459" s="114">
        <v>120</v>
      </c>
      <c r="M459" s="68">
        <f t="shared" si="16"/>
        <v>0.72</v>
      </c>
    </row>
    <row r="460" spans="1:13" x14ac:dyDescent="0.25">
      <c r="A460" s="820"/>
      <c r="B460" s="353" t="s">
        <v>239</v>
      </c>
      <c r="C460" s="343"/>
      <c r="D460" s="340">
        <v>1.4</v>
      </c>
      <c r="E460" s="340">
        <v>1.2</v>
      </c>
      <c r="F460" s="340">
        <f>1.4*E460/100</f>
        <v>1.6799999999999999E-2</v>
      </c>
      <c r="G460" s="340">
        <f>0.2*E460/100</f>
        <v>2.3999999999999998E-3</v>
      </c>
      <c r="H460" s="355">
        <f>8.2*E460/100</f>
        <v>9.8399999999999987E-2</v>
      </c>
      <c r="I460" s="356">
        <f>41*E460/100</f>
        <v>0.49199999999999994</v>
      </c>
      <c r="J460" s="346">
        <f>10*E460/100</f>
        <v>0.12</v>
      </c>
      <c r="K460" s="483"/>
      <c r="L460" s="114">
        <v>92.2</v>
      </c>
      <c r="M460" s="68">
        <f t="shared" si="16"/>
        <v>0.12907999999999997</v>
      </c>
    </row>
    <row r="461" spans="1:13" x14ac:dyDescent="0.25">
      <c r="A461" s="820"/>
      <c r="B461" s="671" t="s">
        <v>230</v>
      </c>
      <c r="C461" s="343"/>
      <c r="D461" s="340">
        <v>0.9</v>
      </c>
      <c r="E461" s="340">
        <v>0.9</v>
      </c>
      <c r="F461" s="340">
        <v>0</v>
      </c>
      <c r="G461" s="340">
        <v>0</v>
      </c>
      <c r="H461" s="340">
        <f>99.8*E461/100</f>
        <v>0.89819999999999989</v>
      </c>
      <c r="I461" s="345">
        <f>379*E461/100</f>
        <v>3.411</v>
      </c>
      <c r="J461" s="346">
        <v>0</v>
      </c>
      <c r="K461" s="483"/>
      <c r="L461" s="114">
        <v>16.62</v>
      </c>
      <c r="M461" s="68">
        <f t="shared" si="16"/>
        <v>1.4958000000000003E-2</v>
      </c>
    </row>
    <row r="462" spans="1:13" x14ac:dyDescent="0.25">
      <c r="A462" s="820"/>
      <c r="B462" s="674" t="s">
        <v>231</v>
      </c>
      <c r="C462" s="670"/>
      <c r="D462" s="386">
        <v>0.6</v>
      </c>
      <c r="E462" s="386">
        <v>0.6</v>
      </c>
      <c r="F462" s="386">
        <v>0</v>
      </c>
      <c r="G462" s="386">
        <v>0</v>
      </c>
      <c r="H462" s="386">
        <v>0</v>
      </c>
      <c r="I462" s="447">
        <v>0</v>
      </c>
      <c r="J462" s="448">
        <v>0</v>
      </c>
      <c r="K462" s="490"/>
      <c r="L462" s="114">
        <v>50.7</v>
      </c>
      <c r="M462" s="68">
        <f t="shared" si="16"/>
        <v>3.0420000000000003E-2</v>
      </c>
    </row>
    <row r="463" spans="1:13" x14ac:dyDescent="0.25">
      <c r="A463" s="820"/>
      <c r="B463" s="420" t="s">
        <v>242</v>
      </c>
      <c r="C463" s="421"/>
      <c r="D463" s="366">
        <v>2.4E-2</v>
      </c>
      <c r="E463" s="366">
        <v>2.4E-2</v>
      </c>
      <c r="F463" s="366">
        <v>0</v>
      </c>
      <c r="G463" s="366">
        <v>0</v>
      </c>
      <c r="H463" s="366">
        <v>0</v>
      </c>
      <c r="I463" s="366">
        <v>0</v>
      </c>
      <c r="J463" s="366">
        <v>0</v>
      </c>
      <c r="K463" s="423"/>
      <c r="L463" s="65"/>
      <c r="M463" s="72">
        <f>SUM(M457:M462)</f>
        <v>1.02335</v>
      </c>
    </row>
    <row r="464" spans="1:13" x14ac:dyDescent="0.25">
      <c r="A464" s="820"/>
      <c r="B464" s="420"/>
      <c r="C464" s="421"/>
      <c r="D464" s="366"/>
      <c r="E464" s="366"/>
      <c r="F464" s="370">
        <f>SUM(F455:F463)</f>
        <v>0.50340000000000007</v>
      </c>
      <c r="G464" s="370">
        <f>SUM(G455:G463)</f>
        <v>1.2389999999999997</v>
      </c>
      <c r="H464" s="370">
        <f>SUM(H455:H463)</f>
        <v>3.8537999999999997</v>
      </c>
      <c r="I464" s="370">
        <f>SUM(I455:I463)</f>
        <v>28.839000000000002</v>
      </c>
      <c r="J464" s="370">
        <f>SUM(J455:J463)</f>
        <v>1.44</v>
      </c>
      <c r="K464" s="423"/>
      <c r="L464" s="65"/>
      <c r="M464" s="72"/>
    </row>
    <row r="465" spans="1:13" x14ac:dyDescent="0.25">
      <c r="A465" s="820"/>
      <c r="B465" s="688" t="s">
        <v>395</v>
      </c>
      <c r="C465" s="425">
        <v>120</v>
      </c>
      <c r="D465" s="366"/>
      <c r="E465" s="366"/>
      <c r="F465" s="366"/>
      <c r="G465" s="366"/>
      <c r="H465" s="366"/>
      <c r="I465" s="366"/>
      <c r="J465" s="366"/>
      <c r="K465" s="423" t="s">
        <v>222</v>
      </c>
      <c r="L465" s="65"/>
      <c r="M465" s="72"/>
    </row>
    <row r="466" spans="1:13" x14ac:dyDescent="0.25">
      <c r="A466" s="820"/>
      <c r="B466" s="689" t="s">
        <v>397</v>
      </c>
      <c r="C466" s="421"/>
      <c r="D466" s="64">
        <v>46.6</v>
      </c>
      <c r="E466" s="64">
        <v>46.6</v>
      </c>
      <c r="F466" s="417">
        <f>12.6*E466/100</f>
        <v>5.8715999999999999</v>
      </c>
      <c r="G466" s="417">
        <f>3.3*E466/100</f>
        <v>1.5378000000000001</v>
      </c>
      <c r="H466" s="417">
        <f>62.1*E466/100</f>
        <v>28.938600000000001</v>
      </c>
      <c r="I466" s="418">
        <f>335*E466/100</f>
        <v>156.11000000000001</v>
      </c>
      <c r="J466" s="419">
        <v>0</v>
      </c>
      <c r="K466" s="422"/>
      <c r="L466" s="65"/>
      <c r="M466" s="72"/>
    </row>
    <row r="467" spans="1:13" x14ac:dyDescent="0.25">
      <c r="A467" s="820"/>
      <c r="B467" s="690" t="s">
        <v>231</v>
      </c>
      <c r="C467" s="343"/>
      <c r="D467" s="359">
        <v>1.2</v>
      </c>
      <c r="E467" s="359">
        <v>1.4</v>
      </c>
      <c r="F467" s="340">
        <v>0</v>
      </c>
      <c r="G467" s="340">
        <v>0</v>
      </c>
      <c r="H467" s="340">
        <v>0</v>
      </c>
      <c r="I467" s="345">
        <v>0</v>
      </c>
      <c r="J467" s="346">
        <v>0</v>
      </c>
      <c r="K467" s="422"/>
      <c r="L467" s="65"/>
      <c r="M467" s="72"/>
    </row>
    <row r="468" spans="1:13" x14ac:dyDescent="0.25">
      <c r="A468" s="820"/>
      <c r="B468" s="689" t="s">
        <v>310</v>
      </c>
      <c r="C468" s="421"/>
      <c r="D468" s="64"/>
      <c r="E468" s="64">
        <v>116.4</v>
      </c>
      <c r="F468" s="366"/>
      <c r="G468" s="366"/>
      <c r="H468" s="366"/>
      <c r="I468" s="366"/>
      <c r="J468" s="366"/>
      <c r="K468" s="422"/>
      <c r="L468" s="65"/>
      <c r="M468" s="72"/>
    </row>
    <row r="469" spans="1:13" x14ac:dyDescent="0.25">
      <c r="A469" s="820"/>
      <c r="B469" s="107" t="s">
        <v>21</v>
      </c>
      <c r="C469" s="194"/>
      <c r="D469" s="63">
        <v>4.2</v>
      </c>
      <c r="E469" s="63">
        <v>4.2</v>
      </c>
      <c r="F469" s="63">
        <v>0.04</v>
      </c>
      <c r="G469" s="63">
        <v>3.625</v>
      </c>
      <c r="H469" s="63">
        <v>6.5000000000000002E-2</v>
      </c>
      <c r="I469" s="63">
        <v>33.049999999999997</v>
      </c>
      <c r="J469" s="96">
        <v>0</v>
      </c>
      <c r="K469" s="422"/>
      <c r="L469" s="65"/>
      <c r="M469" s="72"/>
    </row>
    <row r="470" spans="1:13" x14ac:dyDescent="0.25">
      <c r="A470" s="820"/>
      <c r="B470" s="107"/>
      <c r="C470" s="194"/>
      <c r="D470" s="63"/>
      <c r="E470" s="63"/>
      <c r="F470" s="63"/>
      <c r="G470" s="63"/>
      <c r="H470" s="63"/>
      <c r="I470" s="63"/>
      <c r="J470" s="96"/>
      <c r="K470" s="422"/>
      <c r="L470" s="65"/>
      <c r="M470" s="72"/>
    </row>
    <row r="471" spans="1:13" x14ac:dyDescent="0.25">
      <c r="A471" s="820"/>
      <c r="B471" s="138" t="s">
        <v>180</v>
      </c>
      <c r="C471" s="124">
        <v>180</v>
      </c>
      <c r="D471" s="13"/>
      <c r="E471" s="13"/>
      <c r="F471" s="63"/>
      <c r="G471" s="63"/>
      <c r="H471" s="63"/>
      <c r="I471" s="63"/>
      <c r="J471" s="96"/>
      <c r="K471" s="108" t="s">
        <v>181</v>
      </c>
      <c r="L471" s="65"/>
      <c r="M471" s="64"/>
    </row>
    <row r="472" spans="1:13" ht="17.25" customHeight="1" x14ac:dyDescent="0.25">
      <c r="A472" s="820"/>
      <c r="B472" s="107" t="s">
        <v>182</v>
      </c>
      <c r="C472" s="107"/>
      <c r="D472" s="63">
        <v>18</v>
      </c>
      <c r="E472" s="63" t="s">
        <v>183</v>
      </c>
      <c r="F472" s="63">
        <v>0.93600000000000005</v>
      </c>
      <c r="G472" s="63">
        <v>5.3999999999999999E-2</v>
      </c>
      <c r="H472" s="63">
        <v>9.18</v>
      </c>
      <c r="I472" s="63">
        <v>41.76</v>
      </c>
      <c r="J472" s="96">
        <v>0.72</v>
      </c>
      <c r="K472" s="136"/>
      <c r="L472" s="114">
        <v>90</v>
      </c>
      <c r="M472" s="64">
        <f>SUM(L472*D472)/1000</f>
        <v>1.62</v>
      </c>
    </row>
    <row r="473" spans="1:13" x14ac:dyDescent="0.25">
      <c r="A473" s="820"/>
      <c r="B473" s="107" t="s">
        <v>38</v>
      </c>
      <c r="C473" s="107"/>
      <c r="D473" s="63">
        <v>14.4</v>
      </c>
      <c r="E473" s="63">
        <v>14.4</v>
      </c>
      <c r="F473" s="63">
        <v>0</v>
      </c>
      <c r="G473" s="63">
        <v>0</v>
      </c>
      <c r="H473" s="63">
        <v>14.371</v>
      </c>
      <c r="I473" s="63">
        <v>54.576000000000001</v>
      </c>
      <c r="J473" s="96">
        <v>0</v>
      </c>
      <c r="K473" s="136"/>
      <c r="L473" s="114">
        <v>50</v>
      </c>
      <c r="M473" s="64">
        <f>SUM(L473*D473)/1000</f>
        <v>0.72</v>
      </c>
    </row>
    <row r="474" spans="1:13" x14ac:dyDescent="0.25">
      <c r="A474" s="820"/>
      <c r="B474" s="107" t="s">
        <v>19</v>
      </c>
      <c r="C474" s="107"/>
      <c r="D474" s="63">
        <v>182.7</v>
      </c>
      <c r="E474" s="63">
        <v>182.7</v>
      </c>
      <c r="F474" s="63">
        <v>0</v>
      </c>
      <c r="G474" s="63">
        <v>0</v>
      </c>
      <c r="H474" s="63">
        <v>0</v>
      </c>
      <c r="I474" s="63">
        <v>0</v>
      </c>
      <c r="J474" s="96">
        <v>0</v>
      </c>
      <c r="K474" s="136"/>
      <c r="L474" s="114">
        <v>0</v>
      </c>
      <c r="M474" s="64">
        <f>SUM(L474*D474)/1000</f>
        <v>0</v>
      </c>
    </row>
    <row r="475" spans="1:13" x14ac:dyDescent="0.25">
      <c r="A475" s="820"/>
      <c r="B475" s="107"/>
      <c r="C475" s="107"/>
      <c r="D475" s="63"/>
      <c r="E475" s="63"/>
      <c r="F475" s="118">
        <f>SUM(F472:F474)</f>
        <v>0.93600000000000005</v>
      </c>
      <c r="G475" s="118">
        <f>SUM(G472:G474)</f>
        <v>5.3999999999999999E-2</v>
      </c>
      <c r="H475" s="118">
        <f>SUM(H472:H474)</f>
        <v>23.551000000000002</v>
      </c>
      <c r="I475" s="118">
        <f>SUM(I472:I474)</f>
        <v>96.335999999999999</v>
      </c>
      <c r="J475" s="118">
        <f>SUM(J472:J474)</f>
        <v>0.72</v>
      </c>
      <c r="K475" s="153"/>
      <c r="L475" s="47"/>
      <c r="M475" s="72">
        <f>SUM(M472:M474)</f>
        <v>2.34</v>
      </c>
    </row>
    <row r="476" spans="1:13" x14ac:dyDescent="0.25">
      <c r="A476" s="820"/>
      <c r="B476" s="647" t="s">
        <v>40</v>
      </c>
      <c r="C476" s="124">
        <v>40</v>
      </c>
      <c r="D476" s="63">
        <v>40</v>
      </c>
      <c r="E476" s="63">
        <v>40</v>
      </c>
      <c r="F476" s="118">
        <v>3.85</v>
      </c>
      <c r="G476" s="118">
        <v>1.5</v>
      </c>
      <c r="H476" s="118">
        <v>24.9</v>
      </c>
      <c r="I476" s="118">
        <v>131</v>
      </c>
      <c r="J476" s="139">
        <v>0</v>
      </c>
      <c r="K476" s="153" t="s">
        <v>73</v>
      </c>
      <c r="L476" s="114">
        <v>35</v>
      </c>
      <c r="M476" s="72">
        <f>SUM(L476*D476)/1000</f>
        <v>1.4</v>
      </c>
    </row>
    <row r="477" spans="1:13" x14ac:dyDescent="0.25">
      <c r="A477" s="821"/>
      <c r="B477" s="124" t="s">
        <v>74</v>
      </c>
      <c r="C477" s="124"/>
      <c r="D477" s="180"/>
      <c r="E477" s="180"/>
      <c r="F477" s="265">
        <f>F453+F464+F466+F475+F476</f>
        <v>27.056000000000001</v>
      </c>
      <c r="G477" s="265">
        <f>G453+G464+G466+G475+G476</f>
        <v>20.413400000000003</v>
      </c>
      <c r="H477" s="265">
        <f>H453+H464+H466+H475+H476</f>
        <v>81.243400000000008</v>
      </c>
      <c r="I477" s="265">
        <f>I453+I464+I466+I475+I476</f>
        <v>641.8610000000001</v>
      </c>
      <c r="J477" s="266">
        <f>J453+J464+J466+J475+J476</f>
        <v>3.8599999999999994</v>
      </c>
      <c r="K477" s="158"/>
      <c r="L477" s="65"/>
      <c r="M477" s="71">
        <f>SUM(M456,M469,M475:M476)</f>
        <v>3.7399999999999998</v>
      </c>
    </row>
    <row r="478" spans="1:13" x14ac:dyDescent="0.25">
      <c r="A478" s="5" t="s">
        <v>75</v>
      </c>
      <c r="B478" s="442" t="s">
        <v>81</v>
      </c>
      <c r="C478" s="124">
        <v>87</v>
      </c>
      <c r="D478" s="63"/>
      <c r="E478" s="13"/>
      <c r="F478" s="13"/>
      <c r="G478" s="13"/>
      <c r="H478" s="13"/>
      <c r="I478" s="13"/>
      <c r="J478" s="231"/>
      <c r="K478" s="125" t="s">
        <v>216</v>
      </c>
      <c r="L478" s="65"/>
      <c r="M478" s="64"/>
    </row>
    <row r="479" spans="1:13" x14ac:dyDescent="0.25">
      <c r="A479" s="722"/>
      <c r="B479" s="428" t="s">
        <v>163</v>
      </c>
      <c r="C479" s="96"/>
      <c r="D479" s="63">
        <v>60</v>
      </c>
      <c r="E479" s="63" t="s">
        <v>273</v>
      </c>
      <c r="F479" s="63">
        <v>5.5880000000000001</v>
      </c>
      <c r="G479" s="63">
        <v>5.0599999999999996</v>
      </c>
      <c r="H479" s="63">
        <v>0.308</v>
      </c>
      <c r="I479" s="63">
        <v>69.08</v>
      </c>
      <c r="J479" s="231">
        <v>0</v>
      </c>
      <c r="K479" s="126"/>
      <c r="L479" s="65"/>
      <c r="M479" s="719"/>
    </row>
    <row r="480" spans="1:13" x14ac:dyDescent="0.25">
      <c r="A480" s="722"/>
      <c r="B480" s="428" t="s">
        <v>141</v>
      </c>
      <c r="C480" s="96"/>
      <c r="D480" s="63">
        <v>22.5</v>
      </c>
      <c r="E480" s="63">
        <v>22.5</v>
      </c>
      <c r="F480" s="63">
        <v>0.47599999999999998</v>
      </c>
      <c r="G480" s="63">
        <v>0.54400000000000004</v>
      </c>
      <c r="H480" s="63">
        <v>0.79900000000000004</v>
      </c>
      <c r="I480" s="63">
        <v>9.86</v>
      </c>
      <c r="J480" s="231">
        <v>0.221</v>
      </c>
      <c r="K480" s="126"/>
      <c r="L480" s="65"/>
      <c r="M480" s="719"/>
    </row>
    <row r="481" spans="1:13" x14ac:dyDescent="0.25">
      <c r="A481" s="722"/>
      <c r="B481" s="434" t="s">
        <v>218</v>
      </c>
      <c r="C481" s="201"/>
      <c r="D481" s="331"/>
      <c r="E481" s="331">
        <v>82.5</v>
      </c>
      <c r="F481" s="63"/>
      <c r="G481" s="63"/>
      <c r="H481" s="63"/>
      <c r="I481" s="63"/>
      <c r="J481" s="231"/>
      <c r="K481" s="126"/>
      <c r="L481" s="65"/>
      <c r="M481" s="719"/>
    </row>
    <row r="482" spans="1:13" x14ac:dyDescent="0.25">
      <c r="A482" s="722"/>
      <c r="B482" s="428" t="s">
        <v>21</v>
      </c>
      <c r="C482" s="96"/>
      <c r="D482" s="195">
        <v>3</v>
      </c>
      <c r="E482" s="63">
        <v>3</v>
      </c>
      <c r="F482" s="63">
        <v>3.2000000000000001E-2</v>
      </c>
      <c r="G482" s="63">
        <v>2.9</v>
      </c>
      <c r="H482" s="63">
        <v>5.1999999999999998E-2</v>
      </c>
      <c r="I482" s="63">
        <v>26.44</v>
      </c>
      <c r="J482" s="231">
        <v>0</v>
      </c>
      <c r="K482" s="152"/>
      <c r="L482" s="65"/>
      <c r="M482" s="719"/>
    </row>
    <row r="483" spans="1:13" x14ac:dyDescent="0.25">
      <c r="A483" s="722"/>
      <c r="B483" s="434" t="s">
        <v>82</v>
      </c>
      <c r="C483" s="201"/>
      <c r="D483" s="331"/>
      <c r="E483" s="331">
        <v>79.5</v>
      </c>
      <c r="F483" s="63"/>
      <c r="G483" s="63"/>
      <c r="H483" s="63"/>
      <c r="I483" s="63"/>
      <c r="J483" s="231"/>
      <c r="K483" s="152"/>
      <c r="L483" s="65"/>
      <c r="M483" s="719"/>
    </row>
    <row r="484" spans="1:13" x14ac:dyDescent="0.25">
      <c r="A484" s="722"/>
      <c r="B484" s="428" t="s">
        <v>21</v>
      </c>
      <c r="C484" s="96"/>
      <c r="D484" s="63">
        <v>7.5</v>
      </c>
      <c r="E484" s="63">
        <v>7.5</v>
      </c>
      <c r="F484" s="63">
        <v>0.04</v>
      </c>
      <c r="G484" s="63">
        <v>3.625</v>
      </c>
      <c r="H484" s="63">
        <v>6.5000000000000002E-2</v>
      </c>
      <c r="I484" s="63">
        <v>3.05</v>
      </c>
      <c r="J484" s="231">
        <v>0</v>
      </c>
      <c r="K484" s="152"/>
      <c r="L484" s="65"/>
      <c r="M484" s="719"/>
    </row>
    <row r="485" spans="1:13" x14ac:dyDescent="0.25">
      <c r="A485" s="722"/>
      <c r="B485" s="428"/>
      <c r="C485" s="96"/>
      <c r="D485" s="63"/>
      <c r="E485" s="63"/>
      <c r="F485" s="118">
        <f>SUM(F479:F484)</f>
        <v>6.1360000000000001</v>
      </c>
      <c r="G485" s="118">
        <f>SUM(G479:G484)</f>
        <v>12.129</v>
      </c>
      <c r="H485" s="118">
        <f>SUM(H479:H484)</f>
        <v>1.224</v>
      </c>
      <c r="I485" s="118">
        <f>SUM(I479:I484)</f>
        <v>108.42999999999999</v>
      </c>
      <c r="J485" s="119">
        <f>SUM(J479:J484)</f>
        <v>0.221</v>
      </c>
      <c r="K485" s="153"/>
      <c r="L485" s="65"/>
      <c r="M485" s="719"/>
    </row>
    <row r="486" spans="1:13" ht="28.5" x14ac:dyDescent="0.25">
      <c r="A486" s="722"/>
      <c r="B486" s="124" t="s">
        <v>151</v>
      </c>
      <c r="C486" s="124">
        <v>30</v>
      </c>
      <c r="D486" s="63">
        <v>30</v>
      </c>
      <c r="E486" s="63">
        <v>30</v>
      </c>
      <c r="F486" s="118">
        <v>0.31</v>
      </c>
      <c r="G486" s="118">
        <v>0.02</v>
      </c>
      <c r="H486" s="118">
        <v>0.65</v>
      </c>
      <c r="I486" s="118">
        <v>4</v>
      </c>
      <c r="J486" s="139">
        <v>1</v>
      </c>
      <c r="K486" s="156" t="s">
        <v>73</v>
      </c>
      <c r="L486" s="65"/>
      <c r="M486" s="719"/>
    </row>
    <row r="487" spans="1:13" x14ac:dyDescent="0.25">
      <c r="A487" s="722"/>
      <c r="B487" s="726" t="s">
        <v>40</v>
      </c>
      <c r="C487" s="124">
        <v>20</v>
      </c>
      <c r="D487" s="63">
        <v>20</v>
      </c>
      <c r="E487" s="63">
        <v>20</v>
      </c>
      <c r="F487" s="118">
        <v>2.31</v>
      </c>
      <c r="G487" s="118">
        <v>0.9</v>
      </c>
      <c r="H487" s="118">
        <v>14.94</v>
      </c>
      <c r="I487" s="118">
        <v>78.599999999999994</v>
      </c>
      <c r="J487" s="119">
        <v>0</v>
      </c>
      <c r="K487" s="156" t="s">
        <v>73</v>
      </c>
      <c r="L487" s="65"/>
      <c r="M487" s="719"/>
    </row>
    <row r="488" spans="1:13" x14ac:dyDescent="0.25">
      <c r="A488" s="722"/>
      <c r="B488" s="726" t="s">
        <v>72</v>
      </c>
      <c r="C488" s="105" t="s">
        <v>187</v>
      </c>
      <c r="D488" s="13"/>
      <c r="E488" s="13"/>
      <c r="F488" s="13"/>
      <c r="G488" s="13"/>
      <c r="H488" s="13"/>
      <c r="I488" s="13"/>
      <c r="J488" s="96"/>
      <c r="K488" s="125" t="s">
        <v>188</v>
      </c>
      <c r="L488" s="65"/>
      <c r="M488" s="719"/>
    </row>
    <row r="489" spans="1:13" x14ac:dyDescent="0.25">
      <c r="A489" s="722"/>
      <c r="B489" s="726" t="s">
        <v>184</v>
      </c>
      <c r="C489" s="124"/>
      <c r="D489" s="13">
        <v>30</v>
      </c>
      <c r="E489" s="13">
        <v>30</v>
      </c>
      <c r="F489" s="13"/>
      <c r="G489" s="13"/>
      <c r="H489" s="13"/>
      <c r="I489" s="13"/>
      <c r="J489" s="96"/>
      <c r="K489" s="125"/>
      <c r="L489" s="65"/>
      <c r="M489" s="719"/>
    </row>
    <row r="490" spans="1:13" x14ac:dyDescent="0.25">
      <c r="A490" s="722"/>
      <c r="B490" s="107" t="s">
        <v>120</v>
      </c>
      <c r="C490" s="124"/>
      <c r="D490" s="63">
        <v>32.4</v>
      </c>
      <c r="E490" s="63">
        <v>32.4</v>
      </c>
      <c r="F490" s="63">
        <v>0</v>
      </c>
      <c r="G490" s="63">
        <v>0</v>
      </c>
      <c r="H490" s="63">
        <v>0</v>
      </c>
      <c r="I490" s="63">
        <v>0</v>
      </c>
      <c r="J490" s="96">
        <v>0</v>
      </c>
      <c r="K490" s="125"/>
      <c r="L490" s="65"/>
      <c r="M490" s="719"/>
    </row>
    <row r="491" spans="1:13" x14ac:dyDescent="0.25">
      <c r="A491" s="722"/>
      <c r="B491" s="107" t="s">
        <v>185</v>
      </c>
      <c r="C491" s="107"/>
      <c r="D491" s="63">
        <v>0.3</v>
      </c>
      <c r="E491" s="63">
        <v>0.3</v>
      </c>
      <c r="F491" s="63">
        <v>0.06</v>
      </c>
      <c r="G491" s="63">
        <v>0</v>
      </c>
      <c r="H491" s="63">
        <v>2.07E-2</v>
      </c>
      <c r="I491" s="63">
        <v>0.45540000000000003</v>
      </c>
      <c r="J491" s="96">
        <v>0.03</v>
      </c>
      <c r="K491" s="126"/>
      <c r="L491" s="65"/>
      <c r="M491" s="719"/>
    </row>
    <row r="492" spans="1:13" x14ac:dyDescent="0.25">
      <c r="A492" s="722"/>
      <c r="B492" s="107" t="s">
        <v>49</v>
      </c>
      <c r="C492" s="107"/>
      <c r="D492" s="63">
        <v>10</v>
      </c>
      <c r="E492" s="63">
        <v>10</v>
      </c>
      <c r="F492" s="63">
        <v>0</v>
      </c>
      <c r="G492" s="63">
        <v>0</v>
      </c>
      <c r="H492" s="63">
        <v>9.98</v>
      </c>
      <c r="I492" s="63">
        <v>37.9</v>
      </c>
      <c r="J492" s="96">
        <v>0</v>
      </c>
      <c r="K492" s="126"/>
      <c r="L492" s="65"/>
      <c r="M492" s="719"/>
    </row>
    <row r="493" spans="1:13" x14ac:dyDescent="0.25">
      <c r="A493" s="722"/>
      <c r="B493" s="107" t="s">
        <v>19</v>
      </c>
      <c r="C493" s="107"/>
      <c r="D493" s="63">
        <v>150</v>
      </c>
      <c r="E493" s="63">
        <v>150</v>
      </c>
      <c r="F493" s="63">
        <v>0</v>
      </c>
      <c r="G493" s="63">
        <v>0</v>
      </c>
      <c r="H493" s="63">
        <v>0</v>
      </c>
      <c r="I493" s="63">
        <v>0</v>
      </c>
      <c r="J493" s="96">
        <v>0</v>
      </c>
      <c r="K493" s="126"/>
      <c r="L493" s="65"/>
      <c r="M493" s="719"/>
    </row>
    <row r="494" spans="1:13" x14ac:dyDescent="0.25">
      <c r="A494" s="722"/>
      <c r="B494" s="157"/>
      <c r="C494" s="157"/>
      <c r="D494" s="51"/>
      <c r="E494" s="51"/>
      <c r="F494" s="274">
        <f>SUM(F491:F493)</f>
        <v>0.06</v>
      </c>
      <c r="G494" s="274">
        <f>SUM(G491:G493)</f>
        <v>0</v>
      </c>
      <c r="H494" s="274">
        <f>SUM(H491:H493)</f>
        <v>10.0007</v>
      </c>
      <c r="I494" s="274">
        <f>SUM(I491:I493)</f>
        <v>38.355399999999996</v>
      </c>
      <c r="J494" s="279">
        <f>SUM(J491:J493)</f>
        <v>0.03</v>
      </c>
      <c r="K494" s="156"/>
      <c r="L494" s="65"/>
      <c r="M494" s="719"/>
    </row>
    <row r="495" spans="1:13" x14ac:dyDescent="0.25">
      <c r="A495" s="722"/>
      <c r="B495" s="124" t="s">
        <v>46</v>
      </c>
      <c r="C495" s="124"/>
      <c r="D495" s="63"/>
      <c r="E495" s="63"/>
      <c r="F495" s="282">
        <f>SUM(F487,F485,F494)</f>
        <v>8.5060000000000002</v>
      </c>
      <c r="G495" s="282">
        <f t="shared" ref="G495:J495" si="17">SUM(G487,G485,G494)</f>
        <v>13.029</v>
      </c>
      <c r="H495" s="282">
        <f t="shared" si="17"/>
        <v>26.164699999999996</v>
      </c>
      <c r="I495" s="282">
        <f t="shared" si="17"/>
        <v>225.38539999999998</v>
      </c>
      <c r="J495" s="282">
        <f t="shared" si="17"/>
        <v>0.251</v>
      </c>
      <c r="K495" s="158"/>
      <c r="L495" s="65"/>
      <c r="M495" s="719"/>
    </row>
    <row r="496" spans="1:13" hidden="1" x14ac:dyDescent="0.25">
      <c r="A496" s="5"/>
      <c r="B496" s="13"/>
      <c r="C496" s="4"/>
      <c r="D496" s="105"/>
      <c r="E496" s="106"/>
      <c r="F496" s="63"/>
      <c r="G496" s="63"/>
      <c r="H496" s="63"/>
      <c r="I496" s="63"/>
      <c r="J496" s="96"/>
      <c r="K496" s="125"/>
      <c r="L496" s="65"/>
      <c r="M496" s="64"/>
    </row>
    <row r="497" spans="1:13" ht="15" hidden="1" customHeight="1" x14ac:dyDescent="0.25">
      <c r="A497" s="781"/>
      <c r="B497" s="647"/>
      <c r="C497" s="124"/>
      <c r="D497" s="13"/>
      <c r="E497" s="13"/>
      <c r="F497" s="13"/>
      <c r="G497" s="13"/>
      <c r="H497" s="13"/>
      <c r="I497" s="13"/>
      <c r="J497" s="96"/>
      <c r="K497" s="125"/>
      <c r="L497" s="65"/>
      <c r="M497" s="64"/>
    </row>
    <row r="498" spans="1:13" ht="15" hidden="1" customHeight="1" x14ac:dyDescent="0.25">
      <c r="A498" s="782"/>
      <c r="B498" s="107"/>
      <c r="C498" s="107"/>
      <c r="D498" s="63"/>
      <c r="E498" s="63"/>
      <c r="F498" s="63"/>
      <c r="G498" s="63"/>
      <c r="H498" s="63"/>
      <c r="I498" s="63"/>
      <c r="J498" s="96"/>
      <c r="K498" s="126"/>
      <c r="L498" s="114"/>
      <c r="M498" s="68"/>
    </row>
    <row r="499" spans="1:13" ht="15" hidden="1" customHeight="1" x14ac:dyDescent="0.25">
      <c r="A499" s="782"/>
      <c r="B499" s="107"/>
      <c r="C499" s="107"/>
      <c r="D499" s="63"/>
      <c r="E499" s="63"/>
      <c r="F499" s="63"/>
      <c r="G499" s="63"/>
      <c r="H499" s="63"/>
      <c r="I499" s="63"/>
      <c r="J499" s="96"/>
      <c r="K499" s="126"/>
      <c r="L499" s="114"/>
      <c r="M499" s="68"/>
    </row>
    <row r="500" spans="1:13" ht="15" hidden="1" customHeight="1" x14ac:dyDescent="0.25">
      <c r="A500" s="782"/>
      <c r="B500" s="107"/>
      <c r="C500" s="107"/>
      <c r="D500" s="63"/>
      <c r="E500" s="63"/>
      <c r="F500" s="118"/>
      <c r="G500" s="118"/>
      <c r="H500" s="118"/>
      <c r="I500" s="118"/>
      <c r="J500" s="118"/>
      <c r="K500" s="156"/>
      <c r="L500" s="65"/>
      <c r="M500" s="72"/>
    </row>
    <row r="501" spans="1:13" ht="15" hidden="1" customHeight="1" x14ac:dyDescent="0.25">
      <c r="A501" s="782"/>
      <c r="B501" s="647"/>
      <c r="C501" s="105"/>
      <c r="D501" s="13"/>
      <c r="E501" s="13"/>
      <c r="F501" s="13"/>
      <c r="G501" s="13"/>
      <c r="H501" s="13"/>
      <c r="I501" s="13"/>
      <c r="J501" s="96"/>
      <c r="K501" s="125"/>
      <c r="L501" s="65"/>
      <c r="M501" s="64"/>
    </row>
    <row r="502" spans="1:13" ht="15" hidden="1" customHeight="1" x14ac:dyDescent="0.25">
      <c r="A502" s="782"/>
      <c r="B502" s="647"/>
      <c r="C502" s="124"/>
      <c r="D502" s="13"/>
      <c r="E502" s="13"/>
      <c r="F502" s="13"/>
      <c r="G502" s="13"/>
      <c r="H502" s="13"/>
      <c r="I502" s="13"/>
      <c r="J502" s="96"/>
      <c r="K502" s="125"/>
      <c r="L502" s="65"/>
      <c r="M502" s="64"/>
    </row>
    <row r="503" spans="1:13" ht="15" hidden="1" customHeight="1" x14ac:dyDescent="0.25">
      <c r="A503" s="782"/>
      <c r="B503" s="107"/>
      <c r="C503" s="124"/>
      <c r="D503" s="63"/>
      <c r="E503" s="63"/>
      <c r="F503" s="63"/>
      <c r="G503" s="63"/>
      <c r="H503" s="63"/>
      <c r="I503" s="63"/>
      <c r="J503" s="96"/>
      <c r="K503" s="125"/>
      <c r="L503" s="65"/>
      <c r="M503" s="64"/>
    </row>
    <row r="504" spans="1:13" ht="15" hidden="1" customHeight="1" x14ac:dyDescent="0.25">
      <c r="A504" s="782"/>
      <c r="B504" s="107"/>
      <c r="C504" s="107"/>
      <c r="D504" s="63"/>
      <c r="E504" s="63"/>
      <c r="F504" s="63"/>
      <c r="G504" s="63"/>
      <c r="H504" s="63"/>
      <c r="I504" s="63"/>
      <c r="J504" s="96"/>
      <c r="K504" s="126"/>
      <c r="L504" s="114"/>
      <c r="M504" s="68"/>
    </row>
    <row r="505" spans="1:13" ht="15" hidden="1" customHeight="1" x14ac:dyDescent="0.25">
      <c r="A505" s="782"/>
      <c r="B505" s="107"/>
      <c r="C505" s="107"/>
      <c r="D505" s="63"/>
      <c r="E505" s="63"/>
      <c r="F505" s="63"/>
      <c r="G505" s="63"/>
      <c r="H505" s="63"/>
      <c r="I505" s="63"/>
      <c r="J505" s="96"/>
      <c r="K505" s="126"/>
      <c r="L505" s="114"/>
      <c r="M505" s="68"/>
    </row>
    <row r="506" spans="1:13" ht="15" hidden="1" customHeight="1" x14ac:dyDescent="0.25">
      <c r="A506" s="782"/>
      <c r="B506" s="107"/>
      <c r="C506" s="107"/>
      <c r="D506" s="63"/>
      <c r="E506" s="63"/>
      <c r="F506" s="63"/>
      <c r="G506" s="63"/>
      <c r="H506" s="63"/>
      <c r="I506" s="63"/>
      <c r="J506" s="96"/>
      <c r="K506" s="126"/>
      <c r="L506" s="114"/>
      <c r="M506" s="68"/>
    </row>
    <row r="507" spans="1:13" ht="15" hidden="1" customHeight="1" x14ac:dyDescent="0.25">
      <c r="A507" s="782"/>
      <c r="B507" s="107"/>
      <c r="C507" s="107"/>
      <c r="D507" s="63"/>
      <c r="E507" s="63"/>
      <c r="F507" s="274"/>
      <c r="G507" s="274"/>
      <c r="H507" s="274"/>
      <c r="I507" s="274"/>
      <c r="J507" s="279"/>
      <c r="K507" s="156"/>
      <c r="L507" s="65"/>
      <c r="M507" s="72"/>
    </row>
    <row r="508" spans="1:13" ht="15" hidden="1" customHeight="1" x14ac:dyDescent="0.25">
      <c r="A508" s="783"/>
      <c r="B508" s="124"/>
      <c r="C508" s="124"/>
      <c r="D508" s="13"/>
      <c r="E508" s="13"/>
      <c r="F508" s="142"/>
      <c r="G508" s="142"/>
      <c r="H508" s="142"/>
      <c r="I508" s="142"/>
      <c r="J508" s="143"/>
      <c r="K508" s="158"/>
      <c r="L508" s="65"/>
      <c r="M508" s="71"/>
    </row>
    <row r="509" spans="1:13" ht="26.25" thickBot="1" x14ac:dyDescent="0.3">
      <c r="A509" s="574" t="s">
        <v>131</v>
      </c>
      <c r="B509" s="575"/>
      <c r="C509" s="575"/>
      <c r="D509" s="576"/>
      <c r="E509" s="576"/>
      <c r="F509" s="720">
        <f>F435+F495</f>
        <v>11.176</v>
      </c>
      <c r="G509" s="720">
        <f>G437+G477+G495</f>
        <v>36.282400000000003</v>
      </c>
      <c r="H509" s="720">
        <f>H495+H477+H437</f>
        <v>152.71879999999999</v>
      </c>
      <c r="I509" s="720">
        <f>I495+I477+I437</f>
        <v>1010.5018000000001</v>
      </c>
      <c r="J509" s="720">
        <f>J495+J477+J437</f>
        <v>15.341000000000001</v>
      </c>
      <c r="K509" s="578"/>
      <c r="L509" s="579"/>
      <c r="M509" s="580" t="e">
        <f>SUM(M435,M477,#REF!,M508)</f>
        <v>#REF!</v>
      </c>
    </row>
    <row r="510" spans="1:13" x14ac:dyDescent="0.25">
      <c r="A510" s="225" t="s">
        <v>132</v>
      </c>
      <c r="B510" s="225"/>
      <c r="C510" s="225"/>
      <c r="D510" s="205"/>
      <c r="E510" s="205"/>
      <c r="F510" s="172"/>
      <c r="G510" s="172"/>
      <c r="H510" s="172"/>
      <c r="I510" s="172"/>
      <c r="J510" s="248"/>
      <c r="K510" s="491"/>
      <c r="L510" s="79"/>
      <c r="M510" s="531"/>
    </row>
    <row r="511" spans="1:13" x14ac:dyDescent="0.25">
      <c r="A511" s="5" t="s">
        <v>119</v>
      </c>
      <c r="B511" s="13"/>
      <c r="C511" s="4"/>
      <c r="D511" s="105"/>
      <c r="E511" s="106"/>
      <c r="F511" s="52"/>
      <c r="G511" s="52"/>
      <c r="H511" s="52"/>
      <c r="I511" s="52"/>
      <c r="J511" s="224"/>
      <c r="K511" s="153"/>
      <c r="L511" s="65"/>
      <c r="M511" s="64"/>
    </row>
    <row r="512" spans="1:13" ht="30" x14ac:dyDescent="0.25">
      <c r="A512" s="781"/>
      <c r="B512" s="442" t="s">
        <v>193</v>
      </c>
      <c r="C512" s="124">
        <v>180</v>
      </c>
      <c r="D512" s="13"/>
      <c r="E512" s="13"/>
      <c r="F512" s="63"/>
      <c r="G512" s="63"/>
      <c r="H512" s="63"/>
      <c r="I512" s="63"/>
      <c r="J512" s="96"/>
      <c r="K512" s="125" t="s">
        <v>194</v>
      </c>
      <c r="L512" s="65"/>
      <c r="M512" s="64"/>
    </row>
    <row r="513" spans="1:13" x14ac:dyDescent="0.25">
      <c r="A513" s="782"/>
      <c r="B513" s="173" t="s">
        <v>44</v>
      </c>
      <c r="C513" s="63"/>
      <c r="D513" s="63">
        <v>126</v>
      </c>
      <c r="E513" s="161">
        <v>126</v>
      </c>
      <c r="F513" s="323">
        <v>3.528</v>
      </c>
      <c r="G513" s="63">
        <v>4.032</v>
      </c>
      <c r="H513" s="63">
        <v>5.9219999999999997</v>
      </c>
      <c r="I513" s="161">
        <v>73.08</v>
      </c>
      <c r="J513" s="96">
        <v>1.6379999999999999</v>
      </c>
      <c r="K513" s="126"/>
      <c r="L513" s="114">
        <v>4.6989999999999998</v>
      </c>
      <c r="M513" s="68">
        <f>SUM(L513*D513)/40</f>
        <v>14.801849999999998</v>
      </c>
    </row>
    <row r="514" spans="1:13" x14ac:dyDescent="0.25">
      <c r="A514" s="782"/>
      <c r="B514" s="173" t="s">
        <v>120</v>
      </c>
      <c r="C514" s="63"/>
      <c r="D514" s="63">
        <v>54</v>
      </c>
      <c r="E514" s="63">
        <v>54</v>
      </c>
      <c r="F514" s="675">
        <v>0</v>
      </c>
      <c r="G514" s="63">
        <v>0</v>
      </c>
      <c r="H514" s="63">
        <v>0</v>
      </c>
      <c r="I514" s="63">
        <v>0</v>
      </c>
      <c r="J514" s="96">
        <v>0</v>
      </c>
      <c r="K514" s="126"/>
      <c r="L514" s="114">
        <v>43.22</v>
      </c>
      <c r="M514" s="68">
        <f>SUM(L514*D514)/1000</f>
        <v>2.3338800000000002</v>
      </c>
    </row>
    <row r="515" spans="1:13" x14ac:dyDescent="0.25">
      <c r="A515" s="782"/>
      <c r="B515" s="173" t="s">
        <v>214</v>
      </c>
      <c r="C515" s="63"/>
      <c r="D515" s="63">
        <v>14.4</v>
      </c>
      <c r="E515" s="63">
        <v>14.4</v>
      </c>
      <c r="F515" s="323">
        <v>1.4970000000000001</v>
      </c>
      <c r="G515" s="63">
        <v>0.158</v>
      </c>
      <c r="H515" s="63">
        <v>10.036</v>
      </c>
      <c r="I515" s="63">
        <v>48.527999999999999</v>
      </c>
      <c r="J515" s="96">
        <v>0</v>
      </c>
      <c r="K515" s="126"/>
      <c r="L515" s="114">
        <v>0</v>
      </c>
      <c r="M515" s="68">
        <f>SUM(L515*D515)/1000</f>
        <v>0</v>
      </c>
    </row>
    <row r="516" spans="1:13" x14ac:dyDescent="0.25">
      <c r="A516" s="782"/>
      <c r="B516" s="173" t="s">
        <v>20</v>
      </c>
      <c r="C516" s="63"/>
      <c r="D516" s="63">
        <v>1.44</v>
      </c>
      <c r="E516" s="63">
        <v>1.44</v>
      </c>
      <c r="F516" s="675">
        <v>0</v>
      </c>
      <c r="G516" s="63">
        <v>0</v>
      </c>
      <c r="H516" s="63">
        <v>1.4370000000000001</v>
      </c>
      <c r="I516" s="63">
        <v>5.306</v>
      </c>
      <c r="J516" s="96">
        <v>0</v>
      </c>
      <c r="K516" s="126"/>
      <c r="L516" s="114">
        <v>367.98</v>
      </c>
      <c r="M516" s="68">
        <f>SUM(L516*D516)/1000</f>
        <v>0.52989120000000001</v>
      </c>
    </row>
    <row r="517" spans="1:13" x14ac:dyDescent="0.25">
      <c r="A517" s="782"/>
      <c r="B517" s="173" t="s">
        <v>112</v>
      </c>
      <c r="C517" s="63"/>
      <c r="D517" s="63">
        <v>0.27</v>
      </c>
      <c r="E517" s="63">
        <v>0.27</v>
      </c>
      <c r="F517" s="675">
        <v>0</v>
      </c>
      <c r="G517" s="63">
        <v>0</v>
      </c>
      <c r="H517" s="63">
        <v>0</v>
      </c>
      <c r="I517" s="63">
        <v>0</v>
      </c>
      <c r="J517" s="96">
        <v>0</v>
      </c>
      <c r="K517" s="126"/>
      <c r="L517" s="114">
        <v>0</v>
      </c>
      <c r="M517" s="68">
        <f>SUM(L517*D517)/1000</f>
        <v>0</v>
      </c>
    </row>
    <row r="518" spans="1:13" x14ac:dyDescent="0.25">
      <c r="A518" s="782"/>
      <c r="B518" s="442" t="s">
        <v>23</v>
      </c>
      <c r="C518" s="105">
        <v>40</v>
      </c>
      <c r="D518" s="13"/>
      <c r="E518" s="123"/>
      <c r="F518" s="110"/>
      <c r="G518" s="110"/>
      <c r="H518" s="110"/>
      <c r="I518" s="110"/>
      <c r="J518" s="97"/>
      <c r="K518" s="112" t="s">
        <v>24</v>
      </c>
      <c r="L518" s="114">
        <v>367.98</v>
      </c>
      <c r="M518" s="68">
        <f>SUM(L518*D518)/1000</f>
        <v>0</v>
      </c>
    </row>
    <row r="519" spans="1:13" x14ac:dyDescent="0.25">
      <c r="A519" s="782"/>
      <c r="B519" s="173" t="s">
        <v>21</v>
      </c>
      <c r="C519" s="194"/>
      <c r="D519" s="63">
        <v>10</v>
      </c>
      <c r="E519" s="63">
        <v>10</v>
      </c>
      <c r="F519" s="63">
        <v>0.08</v>
      </c>
      <c r="G519" s="63">
        <v>7.25</v>
      </c>
      <c r="H519" s="63">
        <v>0.13</v>
      </c>
      <c r="I519" s="63">
        <v>66.099999999999994</v>
      </c>
      <c r="J519" s="231">
        <v>0</v>
      </c>
      <c r="K519" s="112"/>
      <c r="L519" s="114"/>
      <c r="M519" s="68"/>
    </row>
    <row r="520" spans="1:13" x14ac:dyDescent="0.25">
      <c r="A520" s="782"/>
      <c r="B520" s="107" t="s">
        <v>106</v>
      </c>
      <c r="C520" s="194"/>
      <c r="D520" s="63">
        <v>30</v>
      </c>
      <c r="E520" s="63">
        <v>30</v>
      </c>
      <c r="F520" s="63">
        <v>2.31</v>
      </c>
      <c r="G520" s="63">
        <v>0.9</v>
      </c>
      <c r="H520" s="63">
        <v>14.94</v>
      </c>
      <c r="I520" s="63">
        <v>78.599999999999994</v>
      </c>
      <c r="J520" s="231">
        <v>0</v>
      </c>
      <c r="K520" s="112"/>
      <c r="L520" s="114"/>
      <c r="M520" s="68"/>
    </row>
    <row r="521" spans="1:13" x14ac:dyDescent="0.25">
      <c r="A521" s="782"/>
      <c r="B521" s="107"/>
      <c r="C521" s="107"/>
      <c r="D521" s="63"/>
      <c r="E521" s="63"/>
      <c r="F521" s="118">
        <f>SUM(F519:F520)</f>
        <v>2.39</v>
      </c>
      <c r="G521" s="118">
        <f t="shared" ref="G521:J521" si="18">SUM(G519:G520)</f>
        <v>8.15</v>
      </c>
      <c r="H521" s="118">
        <f t="shared" si="18"/>
        <v>15.07</v>
      </c>
      <c r="I521" s="118">
        <f t="shared" si="18"/>
        <v>144.69999999999999</v>
      </c>
      <c r="J521" s="118">
        <f t="shared" si="18"/>
        <v>0</v>
      </c>
      <c r="K521" s="156" t="s">
        <v>73</v>
      </c>
      <c r="L521" s="65"/>
      <c r="M521" s="72">
        <f>SUM(M513:M518)</f>
        <v>17.6656212</v>
      </c>
    </row>
    <row r="522" spans="1:13" ht="21" customHeight="1" x14ac:dyDescent="0.25">
      <c r="A522" s="782"/>
      <c r="B522" s="647" t="s">
        <v>99</v>
      </c>
      <c r="C522" s="124">
        <v>180</v>
      </c>
      <c r="D522" s="13"/>
      <c r="E522" s="13"/>
      <c r="F522" s="63"/>
      <c r="G522" s="63"/>
      <c r="H522" s="63"/>
      <c r="I522" s="63"/>
      <c r="J522" s="96"/>
      <c r="K522" s="155" t="s">
        <v>179</v>
      </c>
      <c r="L522" s="65"/>
      <c r="M522" s="68"/>
    </row>
    <row r="523" spans="1:13" x14ac:dyDescent="0.25">
      <c r="A523" s="782"/>
      <c r="B523" s="107" t="s">
        <v>100</v>
      </c>
      <c r="C523" s="107"/>
      <c r="D523" s="63">
        <v>2</v>
      </c>
      <c r="E523" s="63">
        <v>2</v>
      </c>
      <c r="F523" s="63">
        <v>0.48</v>
      </c>
      <c r="G523" s="63">
        <v>0.3</v>
      </c>
      <c r="H523" s="63">
        <v>0.20399999999999999</v>
      </c>
      <c r="I523" s="63">
        <v>5.78</v>
      </c>
      <c r="J523" s="231">
        <v>0</v>
      </c>
      <c r="K523" s="126"/>
      <c r="L523" s="65"/>
      <c r="M523" s="68"/>
    </row>
    <row r="524" spans="1:13" x14ac:dyDescent="0.25">
      <c r="A524" s="782"/>
      <c r="B524" s="107" t="s">
        <v>44</v>
      </c>
      <c r="C524" s="107"/>
      <c r="D524" s="63">
        <v>110</v>
      </c>
      <c r="E524" s="63">
        <v>110</v>
      </c>
      <c r="F524" s="63">
        <v>3.08</v>
      </c>
      <c r="G524" s="63">
        <v>3.52</v>
      </c>
      <c r="H524" s="63">
        <v>5.17</v>
      </c>
      <c r="I524" s="63">
        <v>63.8</v>
      </c>
      <c r="J524" s="96">
        <v>1.43</v>
      </c>
      <c r="K524" s="126"/>
      <c r="L524" s="65"/>
      <c r="M524" s="68"/>
    </row>
    <row r="525" spans="1:13" x14ac:dyDescent="0.25">
      <c r="A525" s="782"/>
      <c r="B525" s="107" t="s">
        <v>49</v>
      </c>
      <c r="C525" s="107"/>
      <c r="D525" s="63">
        <v>10</v>
      </c>
      <c r="E525" s="63">
        <v>10</v>
      </c>
      <c r="F525" s="63">
        <v>0</v>
      </c>
      <c r="G525" s="63">
        <v>0</v>
      </c>
      <c r="H525" s="63">
        <v>9.98</v>
      </c>
      <c r="I525" s="63">
        <v>37.9</v>
      </c>
      <c r="J525" s="96">
        <v>0</v>
      </c>
      <c r="K525" s="126"/>
      <c r="L525" s="114">
        <v>400</v>
      </c>
      <c r="M525" s="68" t="e">
        <f>SUM(L525*#REF!)/1000</f>
        <v>#REF!</v>
      </c>
    </row>
    <row r="526" spans="1:13" x14ac:dyDescent="0.25">
      <c r="A526" s="782"/>
      <c r="B526" s="107" t="s">
        <v>19</v>
      </c>
      <c r="C526" s="107"/>
      <c r="D526" s="63">
        <v>80</v>
      </c>
      <c r="E526" s="63">
        <v>80</v>
      </c>
      <c r="F526" s="63">
        <v>0</v>
      </c>
      <c r="G526" s="63">
        <v>0</v>
      </c>
      <c r="H526" s="63">
        <v>0</v>
      </c>
      <c r="I526" s="63">
        <v>0</v>
      </c>
      <c r="J526" s="96">
        <v>0</v>
      </c>
      <c r="K526" s="126"/>
      <c r="L526" s="114">
        <v>50.7</v>
      </c>
      <c r="M526" s="68" t="e">
        <f>SUM(L526*#REF!)/1000</f>
        <v>#REF!</v>
      </c>
    </row>
    <row r="527" spans="1:13" x14ac:dyDescent="0.25">
      <c r="A527" s="782"/>
      <c r="B527" s="157"/>
      <c r="C527" s="157"/>
      <c r="D527" s="51"/>
      <c r="E527" s="51"/>
      <c r="F527" s="274">
        <f>SUM(F523:F526)</f>
        <v>3.56</v>
      </c>
      <c r="G527" s="274">
        <f>SUM(G523:G526)</f>
        <v>3.82</v>
      </c>
      <c r="H527" s="274">
        <f>SUM(H523:H526)</f>
        <v>15.353999999999999</v>
      </c>
      <c r="I527" s="274">
        <f>SUM(I523:I526)</f>
        <v>107.47999999999999</v>
      </c>
      <c r="J527" s="279">
        <f>SUM(J523:J526)</f>
        <v>1.43</v>
      </c>
      <c r="K527" s="156"/>
      <c r="L527" s="65"/>
      <c r="M527" s="72" t="e">
        <f>SUM(M525:M526)</f>
        <v>#REF!</v>
      </c>
    </row>
    <row r="528" spans="1:13" x14ac:dyDescent="0.25">
      <c r="A528" s="782"/>
      <c r="B528" s="124" t="s">
        <v>57</v>
      </c>
      <c r="C528" s="124"/>
      <c r="D528" s="63"/>
      <c r="E528" s="63"/>
      <c r="F528" s="282">
        <f>F521+F527</f>
        <v>5.95</v>
      </c>
      <c r="G528" s="282">
        <f>G521+G527</f>
        <v>11.97</v>
      </c>
      <c r="H528" s="282">
        <f>H521+H527</f>
        <v>30.423999999999999</v>
      </c>
      <c r="I528" s="282">
        <f>I521+I527</f>
        <v>252.17999999999998</v>
      </c>
      <c r="J528" s="282">
        <f>J521+J527</f>
        <v>1.43</v>
      </c>
      <c r="K528" s="158"/>
      <c r="L528" s="65"/>
      <c r="M528" s="142" t="e">
        <f>SUM(#REF!,#REF!)</f>
        <v>#REF!</v>
      </c>
    </row>
    <row r="529" spans="1:13" ht="23.25" customHeight="1" x14ac:dyDescent="0.25">
      <c r="A529" s="646" t="s">
        <v>367</v>
      </c>
      <c r="B529" s="124" t="s">
        <v>206</v>
      </c>
      <c r="C529" s="124">
        <v>100</v>
      </c>
      <c r="D529" s="63">
        <v>100</v>
      </c>
      <c r="E529" s="63">
        <v>100</v>
      </c>
      <c r="F529" s="308">
        <v>1.5</v>
      </c>
      <c r="G529" s="308">
        <v>0.5</v>
      </c>
      <c r="H529" s="308">
        <v>21</v>
      </c>
      <c r="I529" s="308">
        <v>96</v>
      </c>
      <c r="J529" s="309">
        <v>10</v>
      </c>
      <c r="K529" s="162" t="s">
        <v>207</v>
      </c>
      <c r="L529" s="65">
        <v>55.58</v>
      </c>
      <c r="M529" s="69">
        <f>SUM(L529*D529)/1000</f>
        <v>5.5579999999999998</v>
      </c>
    </row>
    <row r="530" spans="1:13" x14ac:dyDescent="0.25">
      <c r="A530" s="646"/>
      <c r="B530" s="178"/>
      <c r="C530" s="133"/>
      <c r="D530" s="231"/>
      <c r="E530" s="102"/>
      <c r="F530" s="282">
        <f>F529</f>
        <v>1.5</v>
      </c>
      <c r="G530" s="282">
        <f>G529</f>
        <v>0.5</v>
      </c>
      <c r="H530" s="282">
        <f>H529</f>
        <v>21</v>
      </c>
      <c r="I530" s="282">
        <f>I529</f>
        <v>96</v>
      </c>
      <c r="J530" s="283">
        <f>J529</f>
        <v>10</v>
      </c>
      <c r="K530" s="158"/>
      <c r="L530" s="65"/>
      <c r="M530" s="142"/>
    </row>
    <row r="531" spans="1:13" x14ac:dyDescent="0.25">
      <c r="A531" s="5" t="s">
        <v>133</v>
      </c>
      <c r="B531" s="13"/>
      <c r="C531" s="4"/>
      <c r="D531" s="166"/>
      <c r="E531" s="167"/>
      <c r="F531" s="187"/>
      <c r="G531" s="187"/>
      <c r="H531" s="187"/>
      <c r="I531" s="187"/>
      <c r="J531" s="188"/>
      <c r="K531" s="190"/>
      <c r="L531" s="65"/>
      <c r="M531" s="68"/>
    </row>
    <row r="532" spans="1:13" ht="30" x14ac:dyDescent="0.25">
      <c r="A532" s="781"/>
      <c r="B532" s="648" t="s">
        <v>156</v>
      </c>
      <c r="C532" s="140">
        <v>200</v>
      </c>
      <c r="D532" s="154"/>
      <c r="E532" s="154"/>
      <c r="F532" s="63"/>
      <c r="G532" s="63"/>
      <c r="H532" s="63"/>
      <c r="I532" s="63"/>
      <c r="J532" s="96"/>
      <c r="K532" s="125" t="s">
        <v>157</v>
      </c>
      <c r="L532" s="65"/>
      <c r="M532" s="64"/>
    </row>
    <row r="533" spans="1:13" x14ac:dyDescent="0.25">
      <c r="A533" s="782"/>
      <c r="B533" s="96" t="s">
        <v>158</v>
      </c>
      <c r="C533" s="96"/>
      <c r="D533" s="63">
        <v>34</v>
      </c>
      <c r="E533" s="63">
        <v>27.3</v>
      </c>
      <c r="F533" s="102">
        <v>0.48</v>
      </c>
      <c r="G533" s="63">
        <v>3.2000000000000001E-2</v>
      </c>
      <c r="H533" s="63">
        <v>2.8159999999999998</v>
      </c>
      <c r="I533" s="63">
        <v>13.44</v>
      </c>
      <c r="J533" s="96">
        <v>3.2</v>
      </c>
      <c r="K533" s="126"/>
      <c r="L533" s="114">
        <v>31</v>
      </c>
      <c r="M533" s="68">
        <f t="shared" ref="M533:M543" si="19">SUM(L533*D533)/1000</f>
        <v>1.054</v>
      </c>
    </row>
    <row r="534" spans="1:13" x14ac:dyDescent="0.25">
      <c r="A534" s="782"/>
      <c r="B534" s="96" t="s">
        <v>159</v>
      </c>
      <c r="C534" s="96"/>
      <c r="D534" s="63">
        <v>17.3</v>
      </c>
      <c r="E534" s="63">
        <v>14</v>
      </c>
      <c r="F534" s="59">
        <v>0.28799999999999998</v>
      </c>
      <c r="G534" s="51">
        <v>1.6E-2</v>
      </c>
      <c r="H534" s="51">
        <v>0.752</v>
      </c>
      <c r="I534" s="51">
        <v>4.4800000000000004</v>
      </c>
      <c r="J534" s="53">
        <v>7.2</v>
      </c>
      <c r="K534" s="126"/>
      <c r="L534" s="114">
        <v>36</v>
      </c>
      <c r="M534" s="68">
        <f t="shared" si="19"/>
        <v>0.62280000000000002</v>
      </c>
    </row>
    <row r="535" spans="1:13" x14ac:dyDescent="0.25">
      <c r="A535" s="782"/>
      <c r="B535" s="96" t="s">
        <v>36</v>
      </c>
      <c r="C535" s="96"/>
      <c r="D535" s="63">
        <v>31.3</v>
      </c>
      <c r="E535" s="63">
        <v>23.3</v>
      </c>
      <c r="F535" s="102">
        <v>0.31</v>
      </c>
      <c r="G535" s="63">
        <v>6.4000000000000001E-2</v>
      </c>
      <c r="H535" s="63">
        <v>2.6080000000000001</v>
      </c>
      <c r="I535" s="63">
        <v>12.32</v>
      </c>
      <c r="J535" s="96">
        <v>3.2</v>
      </c>
      <c r="K535" s="126"/>
      <c r="L535" s="114">
        <v>33</v>
      </c>
      <c r="M535" s="68">
        <f t="shared" si="19"/>
        <v>1.0329000000000002</v>
      </c>
    </row>
    <row r="536" spans="1:13" x14ac:dyDescent="0.25">
      <c r="A536" s="782"/>
      <c r="B536" s="96" t="s">
        <v>59</v>
      </c>
      <c r="C536" s="96"/>
      <c r="D536" s="63">
        <v>13.3</v>
      </c>
      <c r="E536" s="63">
        <v>10</v>
      </c>
      <c r="F536" s="63">
        <v>0.104</v>
      </c>
      <c r="G536" s="63">
        <v>8.0000000000000002E-3</v>
      </c>
      <c r="H536" s="63">
        <v>0.55200000000000005</v>
      </c>
      <c r="I536" s="63">
        <v>2.8</v>
      </c>
      <c r="J536" s="96">
        <v>0.4</v>
      </c>
      <c r="K536" s="126"/>
      <c r="L536" s="114">
        <v>36</v>
      </c>
      <c r="M536" s="68">
        <f t="shared" si="19"/>
        <v>0.4788</v>
      </c>
    </row>
    <row r="537" spans="1:13" x14ac:dyDescent="0.25">
      <c r="A537" s="782"/>
      <c r="B537" s="96" t="s">
        <v>32</v>
      </c>
      <c r="C537" s="96"/>
      <c r="D537" s="63">
        <v>10</v>
      </c>
      <c r="E537" s="63">
        <v>8</v>
      </c>
      <c r="F537" s="63">
        <v>0.112</v>
      </c>
      <c r="G537" s="63">
        <v>1.6E-2</v>
      </c>
      <c r="H537" s="63">
        <v>0.65600000000000003</v>
      </c>
      <c r="I537" s="63">
        <v>0.28000000000000003</v>
      </c>
      <c r="J537" s="96">
        <v>0.8</v>
      </c>
      <c r="K537" s="126"/>
      <c r="L537" s="114">
        <v>119</v>
      </c>
      <c r="M537" s="68">
        <f t="shared" si="19"/>
        <v>1.19</v>
      </c>
    </row>
    <row r="538" spans="1:13" x14ac:dyDescent="0.25">
      <c r="A538" s="782"/>
      <c r="B538" s="96" t="s">
        <v>60</v>
      </c>
      <c r="C538" s="96"/>
      <c r="D538" s="63">
        <v>2.7</v>
      </c>
      <c r="E538" s="63">
        <v>2.7</v>
      </c>
      <c r="F538" s="102">
        <v>0.28799999999999998</v>
      </c>
      <c r="G538" s="63">
        <v>0</v>
      </c>
      <c r="H538" s="63">
        <v>1.1399999999999999</v>
      </c>
      <c r="I538" s="63">
        <v>6.12</v>
      </c>
      <c r="J538" s="96">
        <v>2.7</v>
      </c>
      <c r="K538" s="126"/>
      <c r="L538" s="114">
        <v>80</v>
      </c>
      <c r="M538" s="68">
        <f t="shared" si="19"/>
        <v>0.216</v>
      </c>
    </row>
    <row r="539" spans="1:13" x14ac:dyDescent="0.25">
      <c r="A539" s="782"/>
      <c r="B539" s="96" t="s">
        <v>37</v>
      </c>
      <c r="C539" s="96"/>
      <c r="D539" s="63">
        <v>4</v>
      </c>
      <c r="E539" s="63">
        <v>4</v>
      </c>
      <c r="F539" s="102">
        <v>0</v>
      </c>
      <c r="G539" s="63">
        <v>3.996</v>
      </c>
      <c r="H539" s="63">
        <v>0</v>
      </c>
      <c r="I539" s="63">
        <v>35.96</v>
      </c>
      <c r="J539" s="96">
        <v>0</v>
      </c>
      <c r="K539" s="126"/>
      <c r="L539" s="114">
        <v>50</v>
      </c>
      <c r="M539" s="68">
        <f t="shared" si="19"/>
        <v>0.2</v>
      </c>
    </row>
    <row r="540" spans="1:13" x14ac:dyDescent="0.25">
      <c r="A540" s="782"/>
      <c r="B540" s="96" t="s">
        <v>49</v>
      </c>
      <c r="C540" s="96"/>
      <c r="D540" s="63">
        <v>2</v>
      </c>
      <c r="E540" s="63">
        <v>2</v>
      </c>
      <c r="F540" s="102">
        <v>0</v>
      </c>
      <c r="G540" s="63">
        <v>0</v>
      </c>
      <c r="H540" s="63">
        <v>1.996</v>
      </c>
      <c r="I540" s="63">
        <v>7.58</v>
      </c>
      <c r="J540" s="96">
        <v>0</v>
      </c>
      <c r="K540" s="126"/>
      <c r="L540" s="114">
        <v>16</v>
      </c>
      <c r="M540" s="68">
        <f t="shared" si="19"/>
        <v>3.2000000000000001E-2</v>
      </c>
    </row>
    <row r="541" spans="1:13" x14ac:dyDescent="0.25">
      <c r="A541" s="782"/>
      <c r="B541" s="96" t="s">
        <v>19</v>
      </c>
      <c r="C541" s="96"/>
      <c r="D541" s="63">
        <v>160</v>
      </c>
      <c r="E541" s="63">
        <v>160</v>
      </c>
      <c r="F541" s="102">
        <v>0</v>
      </c>
      <c r="G541" s="63">
        <v>0</v>
      </c>
      <c r="H541" s="63">
        <v>0</v>
      </c>
      <c r="I541" s="63">
        <v>0</v>
      </c>
      <c r="J541" s="96">
        <v>0</v>
      </c>
      <c r="K541" s="126"/>
      <c r="L541" s="114">
        <v>550</v>
      </c>
      <c r="M541" s="68">
        <f t="shared" si="19"/>
        <v>88</v>
      </c>
    </row>
    <row r="542" spans="1:13" x14ac:dyDescent="0.25">
      <c r="A542" s="782"/>
      <c r="B542" s="96" t="s">
        <v>61</v>
      </c>
      <c r="C542" s="96"/>
      <c r="D542" s="63">
        <v>7.0000000000000001E-3</v>
      </c>
      <c r="E542" s="63">
        <v>7.0000000000000001E-3</v>
      </c>
      <c r="F542" s="102">
        <v>0</v>
      </c>
      <c r="G542" s="63">
        <v>0</v>
      </c>
      <c r="H542" s="63">
        <v>0</v>
      </c>
      <c r="I542" s="63">
        <v>0</v>
      </c>
      <c r="J542" s="96">
        <v>0</v>
      </c>
      <c r="K542" s="126"/>
      <c r="L542" s="114">
        <v>130</v>
      </c>
      <c r="M542" s="68">
        <f t="shared" si="19"/>
        <v>9.1E-4</v>
      </c>
    </row>
    <row r="543" spans="1:13" x14ac:dyDescent="0.25">
      <c r="A543" s="782"/>
      <c r="B543" s="96" t="s">
        <v>112</v>
      </c>
      <c r="C543" s="96"/>
      <c r="D543" s="63">
        <v>1.2</v>
      </c>
      <c r="E543" s="63">
        <v>1.2</v>
      </c>
      <c r="F543" s="102">
        <v>0</v>
      </c>
      <c r="G543" s="63">
        <v>0</v>
      </c>
      <c r="H543" s="63">
        <v>0</v>
      </c>
      <c r="I543" s="63">
        <v>0</v>
      </c>
      <c r="J543" s="96">
        <v>0</v>
      </c>
      <c r="K543" s="126"/>
      <c r="L543" s="114">
        <v>0</v>
      </c>
      <c r="M543" s="68">
        <f t="shared" si="19"/>
        <v>0</v>
      </c>
    </row>
    <row r="544" spans="1:13" x14ac:dyDescent="0.25">
      <c r="A544" s="782"/>
      <c r="B544" s="96" t="s">
        <v>62</v>
      </c>
      <c r="C544" s="96"/>
      <c r="D544" s="63">
        <v>4</v>
      </c>
      <c r="E544" s="63">
        <v>4</v>
      </c>
      <c r="F544" s="63">
        <v>0.1</v>
      </c>
      <c r="G544" s="63">
        <v>0.6</v>
      </c>
      <c r="H544" s="63">
        <v>0.13600000000000001</v>
      </c>
      <c r="I544" s="63">
        <v>8.24</v>
      </c>
      <c r="J544" s="96">
        <v>1.2E-2</v>
      </c>
      <c r="K544" s="126"/>
      <c r="L544" s="65"/>
      <c r="M544" s="72">
        <f>SUM(M533:M543)</f>
        <v>92.82741</v>
      </c>
    </row>
    <row r="545" spans="1:13" x14ac:dyDescent="0.25">
      <c r="A545" s="782"/>
      <c r="B545" s="117"/>
      <c r="C545" s="117"/>
      <c r="D545" s="100"/>
      <c r="E545" s="100"/>
      <c r="F545" s="118">
        <f>SUM(F533:F544)</f>
        <v>1.6820000000000004</v>
      </c>
      <c r="G545" s="118">
        <f>SUM(G533:G544)</f>
        <v>4.7319999999999993</v>
      </c>
      <c r="H545" s="118">
        <f>SUM(H533:H544)</f>
        <v>10.655999999999999</v>
      </c>
      <c r="I545" s="118">
        <f>SUM(I533:I544)</f>
        <v>91.22</v>
      </c>
      <c r="J545" s="119">
        <f>SUM(J533:J544)</f>
        <v>17.512000000000004</v>
      </c>
      <c r="K545" s="156"/>
      <c r="L545" s="226"/>
      <c r="M545" s="108"/>
    </row>
    <row r="546" spans="1:13" ht="28.5" x14ac:dyDescent="0.25">
      <c r="A546" s="782"/>
      <c r="B546" s="742" t="s">
        <v>251</v>
      </c>
      <c r="C546" s="339">
        <v>120</v>
      </c>
      <c r="D546" s="340"/>
      <c r="E546" s="340"/>
      <c r="F546" s="667"/>
      <c r="G546" s="667"/>
      <c r="H546" s="667"/>
      <c r="I546" s="667"/>
      <c r="J546" s="711"/>
      <c r="K546" s="481" t="s">
        <v>313</v>
      </c>
      <c r="L546" s="112"/>
      <c r="M546" s="108"/>
    </row>
    <row r="547" spans="1:13" x14ac:dyDescent="0.25">
      <c r="A547" s="782"/>
      <c r="B547" s="353" t="s">
        <v>252</v>
      </c>
      <c r="C547" s="354"/>
      <c r="D547" s="340">
        <v>147.6</v>
      </c>
      <c r="E547" s="340">
        <v>74.400000000000006</v>
      </c>
      <c r="F547" s="340">
        <f>E547*15.9/100</f>
        <v>11.829600000000001</v>
      </c>
      <c r="G547" s="340">
        <f>0.9*E547/100</f>
        <v>0.66960000000000008</v>
      </c>
      <c r="H547" s="340">
        <v>0</v>
      </c>
      <c r="I547" s="340">
        <f>72*E547/100</f>
        <v>53.568000000000005</v>
      </c>
      <c r="J547" s="346">
        <v>0</v>
      </c>
      <c r="K547" s="480"/>
      <c r="L547" s="112"/>
      <c r="M547" s="108"/>
    </row>
    <row r="548" spans="1:13" x14ac:dyDescent="0.25">
      <c r="A548" s="782"/>
      <c r="B548" s="353" t="s">
        <v>229</v>
      </c>
      <c r="C548" s="354"/>
      <c r="D548" s="340">
        <v>22.8</v>
      </c>
      <c r="E548" s="340">
        <v>22.8</v>
      </c>
      <c r="F548" s="340">
        <v>0</v>
      </c>
      <c r="G548" s="340">
        <v>0</v>
      </c>
      <c r="H548" s="340">
        <v>0</v>
      </c>
      <c r="I548" s="340">
        <v>0</v>
      </c>
      <c r="J548" s="346">
        <v>0</v>
      </c>
      <c r="K548" s="480"/>
      <c r="L548" s="112"/>
      <c r="M548" s="108"/>
    </row>
    <row r="549" spans="1:13" x14ac:dyDescent="0.25">
      <c r="A549" s="782"/>
      <c r="B549" s="353" t="s">
        <v>238</v>
      </c>
      <c r="C549" s="343"/>
      <c r="D549" s="340">
        <v>32.4</v>
      </c>
      <c r="E549" s="340">
        <v>25.2</v>
      </c>
      <c r="F549" s="340">
        <f>1.3*E549/100</f>
        <v>0.3276</v>
      </c>
      <c r="G549" s="340">
        <v>0</v>
      </c>
      <c r="H549" s="340">
        <f>6.9*E549/100</f>
        <v>1.7387999999999999</v>
      </c>
      <c r="I549" s="340">
        <f>35*E549/100</f>
        <v>8.82</v>
      </c>
      <c r="J549" s="346">
        <v>1.26</v>
      </c>
      <c r="K549" s="480"/>
      <c r="L549" s="112"/>
      <c r="M549" s="108"/>
    </row>
    <row r="550" spans="1:13" x14ac:dyDescent="0.25">
      <c r="A550" s="782"/>
      <c r="B550" s="353" t="s">
        <v>239</v>
      </c>
      <c r="C550" s="354"/>
      <c r="D550" s="340">
        <v>14.4</v>
      </c>
      <c r="E550" s="340">
        <v>11</v>
      </c>
      <c r="F550" s="340">
        <v>0.14000000000000001</v>
      </c>
      <c r="G550" s="340">
        <v>0</v>
      </c>
      <c r="H550" s="340">
        <v>0.82</v>
      </c>
      <c r="I550" s="340">
        <v>4.0999999999999996</v>
      </c>
      <c r="J550" s="346">
        <v>1</v>
      </c>
      <c r="K550" s="480"/>
      <c r="L550" s="112"/>
      <c r="M550" s="108"/>
    </row>
    <row r="551" spans="1:13" x14ac:dyDescent="0.25">
      <c r="A551" s="782"/>
      <c r="B551" s="353" t="s">
        <v>240</v>
      </c>
      <c r="C551" s="354"/>
      <c r="D551" s="340">
        <v>4.8</v>
      </c>
      <c r="E551" s="340">
        <v>4.8</v>
      </c>
      <c r="F551" s="340">
        <f>4.8*E551/100</f>
        <v>0.23039999999999999</v>
      </c>
      <c r="G551" s="340">
        <v>0</v>
      </c>
      <c r="H551" s="340">
        <f>19*E551/100</f>
        <v>0.91200000000000003</v>
      </c>
      <c r="I551" s="340">
        <f>102*E551/100</f>
        <v>4.8959999999999999</v>
      </c>
      <c r="J551" s="346">
        <v>2.16</v>
      </c>
      <c r="K551" s="480"/>
      <c r="L551" s="112"/>
      <c r="M551" s="108"/>
    </row>
    <row r="552" spans="1:13" ht="21" customHeight="1" x14ac:dyDescent="0.25">
      <c r="A552" s="782"/>
      <c r="B552" s="353" t="s">
        <v>241</v>
      </c>
      <c r="C552" s="372"/>
      <c r="D552" s="340">
        <v>6</v>
      </c>
      <c r="E552" s="340">
        <v>6</v>
      </c>
      <c r="F552" s="340">
        <v>0</v>
      </c>
      <c r="G552" s="340">
        <f>99.9*E552/100</f>
        <v>5.9940000000000007</v>
      </c>
      <c r="H552" s="340">
        <v>0</v>
      </c>
      <c r="I552" s="340">
        <f>899*E552/100</f>
        <v>53.94</v>
      </c>
      <c r="J552" s="346">
        <v>0</v>
      </c>
      <c r="K552" s="480"/>
      <c r="L552" s="112"/>
      <c r="M552" s="278"/>
    </row>
    <row r="553" spans="1:13" x14ac:dyDescent="0.25">
      <c r="A553" s="782"/>
      <c r="B553" s="353" t="s">
        <v>230</v>
      </c>
      <c r="C553" s="339"/>
      <c r="D553" s="340">
        <v>2.4</v>
      </c>
      <c r="E553" s="340">
        <v>2.4</v>
      </c>
      <c r="F553" s="340">
        <v>0</v>
      </c>
      <c r="G553" s="340">
        <v>0</v>
      </c>
      <c r="H553" s="347">
        <f>99.8*E553/100</f>
        <v>2.3952</v>
      </c>
      <c r="I553" s="347">
        <f>379*E553/100</f>
        <v>9.0960000000000001</v>
      </c>
      <c r="J553" s="349">
        <v>0</v>
      </c>
      <c r="K553" s="480"/>
      <c r="L553" s="112"/>
      <c r="M553" s="108"/>
    </row>
    <row r="554" spans="1:13" x14ac:dyDescent="0.25">
      <c r="A554" s="782"/>
      <c r="B554" s="353" t="s">
        <v>231</v>
      </c>
      <c r="C554" s="343"/>
      <c r="D554" s="340">
        <v>1.7</v>
      </c>
      <c r="E554" s="340">
        <v>1.7</v>
      </c>
      <c r="F554" s="340">
        <v>0</v>
      </c>
      <c r="G554" s="340">
        <v>0</v>
      </c>
      <c r="H554" s="340">
        <v>0</v>
      </c>
      <c r="I554" s="340">
        <v>0</v>
      </c>
      <c r="J554" s="346">
        <v>0</v>
      </c>
      <c r="K554" s="480"/>
      <c r="L554" s="112"/>
      <c r="M554" s="108"/>
    </row>
    <row r="555" spans="1:13" x14ac:dyDescent="0.25">
      <c r="A555" s="782"/>
      <c r="B555" s="671" t="s">
        <v>242</v>
      </c>
      <c r="C555" s="445"/>
      <c r="D555" s="386">
        <v>0.01</v>
      </c>
      <c r="E555" s="386">
        <v>0.01</v>
      </c>
      <c r="F555" s="386">
        <v>0</v>
      </c>
      <c r="G555" s="386">
        <v>0</v>
      </c>
      <c r="H555" s="386">
        <v>0</v>
      </c>
      <c r="I555" s="386">
        <v>0</v>
      </c>
      <c r="J555" s="448">
        <v>0</v>
      </c>
      <c r="K555" s="693"/>
      <c r="L555" s="112"/>
      <c r="M555" s="108"/>
    </row>
    <row r="556" spans="1:13" x14ac:dyDescent="0.25">
      <c r="A556" s="782"/>
      <c r="B556" s="96"/>
      <c r="C556" s="546"/>
      <c r="D556" s="63"/>
      <c r="E556" s="63"/>
      <c r="F556" s="118">
        <f>SUM(F547:F555)</f>
        <v>12.527600000000001</v>
      </c>
      <c r="G556" s="118">
        <f>SUM(G547:G555)</f>
        <v>6.6636000000000006</v>
      </c>
      <c r="H556" s="118">
        <f>SUM(H547:H555)</f>
        <v>5.8659999999999997</v>
      </c>
      <c r="I556" s="118">
        <f>SUM(I547:I555)</f>
        <v>134.41999999999999</v>
      </c>
      <c r="J556" s="118">
        <f>SUM(J547:J555)</f>
        <v>4.42</v>
      </c>
      <c r="K556" s="112"/>
      <c r="L556" s="112"/>
      <c r="M556" s="108"/>
    </row>
    <row r="557" spans="1:13" x14ac:dyDescent="0.25">
      <c r="A557" s="782"/>
      <c r="B557" s="133" t="s">
        <v>89</v>
      </c>
      <c r="C557" s="539">
        <v>150</v>
      </c>
      <c r="D557" s="63"/>
      <c r="E557" s="63"/>
      <c r="F557" s="63"/>
      <c r="G557" s="63"/>
      <c r="H557" s="63"/>
      <c r="I557" s="63"/>
      <c r="J557" s="63"/>
      <c r="K557" s="112"/>
      <c r="L557" s="112"/>
      <c r="M557" s="108"/>
    </row>
    <row r="558" spans="1:13" x14ac:dyDescent="0.25">
      <c r="A558" s="782"/>
      <c r="B558" s="96" t="s">
        <v>237</v>
      </c>
      <c r="C558" s="538"/>
      <c r="D558" s="63">
        <v>171</v>
      </c>
      <c r="E558" s="63">
        <v>128.30000000000001</v>
      </c>
      <c r="F558" s="63">
        <v>2.54</v>
      </c>
      <c r="G558" s="63">
        <v>0.50800000000000001</v>
      </c>
      <c r="H558" s="63">
        <v>20.701000000000001</v>
      </c>
      <c r="I558" s="63">
        <v>97.79</v>
      </c>
      <c r="J558" s="63">
        <v>25.4</v>
      </c>
      <c r="K558" s="112"/>
      <c r="L558" s="112"/>
      <c r="M558" s="108"/>
    </row>
    <row r="559" spans="1:13" x14ac:dyDescent="0.25">
      <c r="A559" s="782"/>
      <c r="B559" s="96" t="s">
        <v>228</v>
      </c>
      <c r="C559" s="538"/>
      <c r="D559" s="63">
        <v>23.7</v>
      </c>
      <c r="E559" s="63">
        <v>22.5</v>
      </c>
      <c r="F559" s="63">
        <v>0.63</v>
      </c>
      <c r="G559" s="63">
        <v>0.72</v>
      </c>
      <c r="H559" s="63">
        <v>1.0575000000000001</v>
      </c>
      <c r="I559" s="63">
        <v>13.05</v>
      </c>
      <c r="J559" s="63">
        <v>0.29249999999999998</v>
      </c>
      <c r="K559" s="112"/>
      <c r="L559" s="112"/>
      <c r="M559" s="108"/>
    </row>
    <row r="560" spans="1:13" x14ac:dyDescent="0.25">
      <c r="A560" s="782"/>
      <c r="B560" s="96" t="s">
        <v>279</v>
      </c>
      <c r="C560" s="537"/>
      <c r="D560" s="63">
        <v>5.3</v>
      </c>
      <c r="E560" s="63">
        <v>5.3</v>
      </c>
      <c r="F560" s="63">
        <v>4.24E-2</v>
      </c>
      <c r="G560" s="63">
        <v>3.8424999999999998</v>
      </c>
      <c r="H560" s="63">
        <v>6.8900000000000003E-2</v>
      </c>
      <c r="I560" s="63">
        <v>35.033000000000001</v>
      </c>
      <c r="J560" s="63">
        <v>0</v>
      </c>
      <c r="K560" s="112"/>
      <c r="L560" s="112"/>
      <c r="M560" s="108"/>
    </row>
    <row r="561" spans="1:13" ht="15" hidden="1" customHeight="1" x14ac:dyDescent="0.25">
      <c r="A561" s="782"/>
      <c r="B561" s="96" t="s">
        <v>228</v>
      </c>
      <c r="C561" s="541"/>
      <c r="D561" s="63">
        <v>17.399999999999999</v>
      </c>
      <c r="E561" s="63">
        <v>16.5</v>
      </c>
      <c r="F561" s="63">
        <f>2.8*E561/100</f>
        <v>0.46199999999999997</v>
      </c>
      <c r="G561" s="63">
        <f>3.2*E561/100</f>
        <v>0.52800000000000002</v>
      </c>
      <c r="H561" s="63">
        <f>4.7*E561/100</f>
        <v>0.77549999999999997</v>
      </c>
      <c r="I561" s="63">
        <f>58*E561/100</f>
        <v>9.57</v>
      </c>
      <c r="J561" s="63">
        <f>1.3*E561/100</f>
        <v>0.2145</v>
      </c>
      <c r="K561" s="112"/>
      <c r="L561" s="112"/>
      <c r="M561" s="108"/>
    </row>
    <row r="562" spans="1:13" x14ac:dyDescent="0.25">
      <c r="A562" s="782"/>
      <c r="B562" s="96" t="s">
        <v>231</v>
      </c>
      <c r="C562" s="541"/>
      <c r="D562" s="63">
        <v>1.5</v>
      </c>
      <c r="E562" s="63">
        <v>1.5</v>
      </c>
      <c r="F562" s="63">
        <v>0</v>
      </c>
      <c r="G562" s="63">
        <v>0</v>
      </c>
      <c r="H562" s="63">
        <v>0</v>
      </c>
      <c r="I562" s="63">
        <v>0</v>
      </c>
      <c r="J562" s="63">
        <v>0</v>
      </c>
      <c r="K562" s="112"/>
      <c r="L562" s="112"/>
      <c r="M562" s="278"/>
    </row>
    <row r="563" spans="1:13" x14ac:dyDescent="0.25">
      <c r="A563" s="782"/>
      <c r="B563" s="96"/>
      <c r="C563" s="607"/>
      <c r="D563" s="608"/>
      <c r="E563" s="608"/>
      <c r="F563" s="609">
        <f>SUM(F558:F562)</f>
        <v>3.6744000000000003</v>
      </c>
      <c r="G563" s="609">
        <f>SUM(G558:G562)</f>
        <v>5.5984999999999996</v>
      </c>
      <c r="H563" s="610">
        <f>SUM(H558:H562)</f>
        <v>22.602900000000002</v>
      </c>
      <c r="I563" s="610">
        <f>SUM(I558:I562)</f>
        <v>155.44299999999998</v>
      </c>
      <c r="J563" s="611">
        <f>SUM(J558:J562)</f>
        <v>25.907</v>
      </c>
      <c r="K563" s="112"/>
      <c r="L563" s="112"/>
      <c r="M563" s="278"/>
    </row>
    <row r="564" spans="1:13" x14ac:dyDescent="0.25">
      <c r="A564" s="782"/>
      <c r="B564" s="133" t="s">
        <v>180</v>
      </c>
      <c r="C564" s="124">
        <v>180</v>
      </c>
      <c r="D564" s="13"/>
      <c r="E564" s="13"/>
      <c r="F564" s="63"/>
      <c r="G564" s="63"/>
      <c r="H564" s="63"/>
      <c r="I564" s="63"/>
      <c r="J564" s="96"/>
      <c r="K564" s="108" t="s">
        <v>90</v>
      </c>
      <c r="L564" s="65"/>
      <c r="M564" s="68"/>
    </row>
    <row r="565" spans="1:13" x14ac:dyDescent="0.25">
      <c r="A565" s="782"/>
      <c r="B565" s="96" t="s">
        <v>182</v>
      </c>
      <c r="C565" s="107"/>
      <c r="D565" s="63">
        <v>18</v>
      </c>
      <c r="E565" s="63" t="s">
        <v>183</v>
      </c>
      <c r="F565" s="63">
        <v>0.93600000000000005</v>
      </c>
      <c r="G565" s="63">
        <v>5.3999999999999999E-2</v>
      </c>
      <c r="H565" s="63">
        <v>9.18</v>
      </c>
      <c r="I565" s="63">
        <v>41.76</v>
      </c>
      <c r="J565" s="96">
        <v>0.72</v>
      </c>
      <c r="K565" s="136"/>
      <c r="L565" s="114">
        <v>90</v>
      </c>
      <c r="M565" s="68">
        <f>SUM(L565*D565)/1000</f>
        <v>1.62</v>
      </c>
    </row>
    <row r="566" spans="1:13" x14ac:dyDescent="0.25">
      <c r="A566" s="782"/>
      <c r="B566" s="96" t="s">
        <v>38</v>
      </c>
      <c r="C566" s="107"/>
      <c r="D566" s="63">
        <v>14.4</v>
      </c>
      <c r="E566" s="63">
        <v>14.4</v>
      </c>
      <c r="F566" s="63">
        <v>0</v>
      </c>
      <c r="G566" s="63">
        <v>0</v>
      </c>
      <c r="H566" s="63">
        <v>14.371</v>
      </c>
      <c r="I566" s="63">
        <v>54.576000000000001</v>
      </c>
      <c r="J566" s="96">
        <v>0</v>
      </c>
      <c r="K566" s="136"/>
      <c r="L566" s="114">
        <v>50</v>
      </c>
      <c r="M566" s="68">
        <f>SUM(L566*D566)/1000</f>
        <v>0.72</v>
      </c>
    </row>
    <row r="567" spans="1:13" x14ac:dyDescent="0.25">
      <c r="A567" s="782"/>
      <c r="B567" s="96" t="s">
        <v>19</v>
      </c>
      <c r="C567" s="107"/>
      <c r="D567" s="63">
        <v>182.7</v>
      </c>
      <c r="E567" s="63">
        <v>182.7</v>
      </c>
      <c r="F567" s="63">
        <v>0</v>
      </c>
      <c r="G567" s="63">
        <v>0</v>
      </c>
      <c r="H567" s="63">
        <v>0</v>
      </c>
      <c r="I567" s="63">
        <v>0</v>
      </c>
      <c r="J567" s="96">
        <v>0</v>
      </c>
      <c r="K567" s="136"/>
      <c r="L567" s="114">
        <v>0</v>
      </c>
      <c r="M567" s="68">
        <f>SUM(L567*D567)/1000</f>
        <v>0</v>
      </c>
    </row>
    <row r="568" spans="1:13" x14ac:dyDescent="0.25">
      <c r="A568" s="782"/>
      <c r="B568" s="107"/>
      <c r="C568" s="107"/>
      <c r="D568" s="63"/>
      <c r="E568" s="63"/>
      <c r="F568" s="118">
        <f>SUM(F565:F567)</f>
        <v>0.93600000000000005</v>
      </c>
      <c r="G568" s="118">
        <f>SUM(G565:G567)</f>
        <v>5.3999999999999999E-2</v>
      </c>
      <c r="H568" s="118">
        <f>SUM(H565:H567)</f>
        <v>23.551000000000002</v>
      </c>
      <c r="I568" s="118">
        <f>SUM(I565:I567)</f>
        <v>96.335999999999999</v>
      </c>
      <c r="J568" s="118">
        <f>SUM(J565:J567)</f>
        <v>0.72</v>
      </c>
      <c r="K568" s="153"/>
      <c r="L568" s="47"/>
      <c r="M568" s="72">
        <f>SUM(M565:M567)</f>
        <v>2.34</v>
      </c>
    </row>
    <row r="569" spans="1:13" x14ac:dyDescent="0.25">
      <c r="A569" s="782"/>
      <c r="B569" s="647" t="s">
        <v>40</v>
      </c>
      <c r="C569" s="124">
        <v>40</v>
      </c>
      <c r="D569" s="63">
        <v>40</v>
      </c>
      <c r="E569" s="63">
        <v>40</v>
      </c>
      <c r="F569" s="118">
        <v>3.85</v>
      </c>
      <c r="G569" s="118">
        <v>1.5</v>
      </c>
      <c r="H569" s="118">
        <v>24.9</v>
      </c>
      <c r="I569" s="118">
        <v>131</v>
      </c>
      <c r="J569" s="139">
        <v>0</v>
      </c>
      <c r="K569" s="153" t="s">
        <v>73</v>
      </c>
      <c r="L569" s="114">
        <v>35</v>
      </c>
      <c r="M569" s="72">
        <f>SUM(L569*D569)/1000</f>
        <v>1.4</v>
      </c>
    </row>
    <row r="570" spans="1:13" x14ac:dyDescent="0.25">
      <c r="A570" s="783"/>
      <c r="B570" s="124" t="s">
        <v>74</v>
      </c>
      <c r="C570" s="227"/>
      <c r="D570" s="102"/>
      <c r="E570" s="63"/>
      <c r="F570" s="142">
        <f>F545+F556+F563+F568+F569</f>
        <v>22.67</v>
      </c>
      <c r="G570" s="142">
        <f>G545+G556+G563+G568+G569</f>
        <v>18.548099999999998</v>
      </c>
      <c r="H570" s="273">
        <f>H545+H556+H563+H568+H569</f>
        <v>87.57589999999999</v>
      </c>
      <c r="I570" s="273">
        <f>I545+I556+I563+I568+I569</f>
        <v>608.41899999999998</v>
      </c>
      <c r="J570" s="142">
        <f>J545+J556+J563+J568+J569</f>
        <v>48.558999999999997</v>
      </c>
      <c r="K570" s="158"/>
      <c r="L570" s="65"/>
      <c r="M570" s="71">
        <f>SUM(M541,M552,M562,M568:M569)</f>
        <v>91.740000000000009</v>
      </c>
    </row>
    <row r="571" spans="1:13" x14ac:dyDescent="0.25">
      <c r="A571" s="5" t="s">
        <v>136</v>
      </c>
      <c r="B571" s="706" t="s">
        <v>396</v>
      </c>
      <c r="C571" s="254">
        <v>60</v>
      </c>
      <c r="D571" s="187"/>
      <c r="E571" s="189"/>
      <c r="F571" s="187"/>
      <c r="G571" s="187"/>
      <c r="H571" s="187"/>
      <c r="I571" s="187"/>
      <c r="J571" s="188"/>
      <c r="K571" s="236" t="s">
        <v>373</v>
      </c>
      <c r="L571" s="65"/>
      <c r="M571" s="68"/>
    </row>
    <row r="572" spans="1:13" x14ac:dyDescent="0.25">
      <c r="A572" s="722"/>
      <c r="B572" s="376" t="s">
        <v>291</v>
      </c>
      <c r="C572" s="376"/>
      <c r="D572" s="187">
        <v>33.6</v>
      </c>
      <c r="E572" s="187">
        <v>33.6</v>
      </c>
      <c r="F572" s="187">
        <v>3.46</v>
      </c>
      <c r="G572" s="187">
        <v>0.37</v>
      </c>
      <c r="H572" s="187">
        <v>23.18</v>
      </c>
      <c r="I572" s="187">
        <v>112.2</v>
      </c>
      <c r="J572" s="188">
        <v>0</v>
      </c>
      <c r="K572" s="190"/>
      <c r="L572" s="65"/>
      <c r="M572" s="68"/>
    </row>
    <row r="573" spans="1:13" x14ac:dyDescent="0.25">
      <c r="A573" s="722"/>
      <c r="B573" s="376" t="s">
        <v>299</v>
      </c>
      <c r="C573" s="376"/>
      <c r="D573" s="377">
        <v>9</v>
      </c>
      <c r="E573" s="377">
        <v>9</v>
      </c>
      <c r="F573" s="187">
        <v>0</v>
      </c>
      <c r="G573" s="187">
        <v>0</v>
      </c>
      <c r="H573" s="187">
        <v>8.98</v>
      </c>
      <c r="I573" s="187">
        <v>34.11</v>
      </c>
      <c r="J573" s="188">
        <v>0</v>
      </c>
      <c r="K573" s="190"/>
      <c r="L573" s="65"/>
      <c r="M573" s="68"/>
    </row>
    <row r="574" spans="1:13" x14ac:dyDescent="0.25">
      <c r="A574" s="722"/>
      <c r="B574" s="376" t="s">
        <v>398</v>
      </c>
      <c r="C574" s="376"/>
      <c r="D574" s="187">
        <v>8</v>
      </c>
      <c r="E574" s="187">
        <v>8</v>
      </c>
      <c r="F574" s="187">
        <v>0.05</v>
      </c>
      <c r="G574" s="187">
        <v>6.24</v>
      </c>
      <c r="H574" s="187">
        <v>0.08</v>
      </c>
      <c r="I574" s="187">
        <v>52.88</v>
      </c>
      <c r="J574" s="188">
        <v>0</v>
      </c>
      <c r="K574" s="190"/>
      <c r="L574" s="65"/>
      <c r="M574" s="68"/>
    </row>
    <row r="575" spans="1:13" x14ac:dyDescent="0.25">
      <c r="A575" s="722"/>
      <c r="B575" s="376" t="s">
        <v>34</v>
      </c>
      <c r="C575" s="376"/>
      <c r="D575" s="187">
        <v>7</v>
      </c>
      <c r="E575" s="187">
        <v>7</v>
      </c>
      <c r="F575" s="187">
        <v>0.89</v>
      </c>
      <c r="G575" s="187">
        <v>0.8</v>
      </c>
      <c r="H575" s="187">
        <v>0.05</v>
      </c>
      <c r="I575" s="187">
        <v>10.99</v>
      </c>
      <c r="J575" s="188">
        <v>0</v>
      </c>
      <c r="K575" s="190"/>
      <c r="L575" s="65"/>
      <c r="M575" s="68"/>
    </row>
    <row r="576" spans="1:13" x14ac:dyDescent="0.25">
      <c r="A576" s="722"/>
      <c r="B576" s="376" t="s">
        <v>399</v>
      </c>
      <c r="C576" s="376"/>
      <c r="D576" s="187">
        <v>4</v>
      </c>
      <c r="E576" s="187">
        <v>4</v>
      </c>
      <c r="F576" s="187">
        <v>0.51</v>
      </c>
      <c r="G576" s="187">
        <v>0.46</v>
      </c>
      <c r="H576" s="187">
        <v>0.03</v>
      </c>
      <c r="I576" s="187">
        <v>6.28</v>
      </c>
      <c r="J576" s="188">
        <v>0</v>
      </c>
      <c r="K576" s="190"/>
      <c r="L576" s="65"/>
      <c r="M576" s="68"/>
    </row>
    <row r="577" spans="1:13" x14ac:dyDescent="0.25">
      <c r="A577" s="722"/>
      <c r="B577" s="376" t="s">
        <v>400</v>
      </c>
      <c r="C577" s="376"/>
      <c r="D577" s="187">
        <v>0.6</v>
      </c>
      <c r="E577" s="187">
        <v>0.6</v>
      </c>
      <c r="F577" s="187">
        <v>0</v>
      </c>
      <c r="G577" s="187">
        <v>0</v>
      </c>
      <c r="H577" s="187">
        <v>0</v>
      </c>
      <c r="I577" s="187">
        <v>0</v>
      </c>
      <c r="J577" s="188">
        <v>0</v>
      </c>
      <c r="K577" s="190"/>
      <c r="L577" s="65"/>
      <c r="M577" s="68"/>
    </row>
    <row r="578" spans="1:13" x14ac:dyDescent="0.25">
      <c r="A578" s="722"/>
      <c r="B578" s="376" t="s">
        <v>300</v>
      </c>
      <c r="C578" s="376"/>
      <c r="D578" s="187">
        <v>0.03</v>
      </c>
      <c r="E578" s="187">
        <v>0.03</v>
      </c>
      <c r="F578" s="187">
        <v>0</v>
      </c>
      <c r="G578" s="187">
        <v>0</v>
      </c>
      <c r="H578" s="187">
        <v>0</v>
      </c>
      <c r="I578" s="187">
        <v>0</v>
      </c>
      <c r="J578" s="188">
        <v>0</v>
      </c>
      <c r="K578" s="190"/>
      <c r="L578" s="65"/>
      <c r="M578" s="68"/>
    </row>
    <row r="579" spans="1:13" x14ac:dyDescent="0.25">
      <c r="A579" s="722"/>
      <c r="B579" s="376" t="s">
        <v>392</v>
      </c>
      <c r="C579" s="376"/>
      <c r="D579" s="187">
        <v>0.18</v>
      </c>
      <c r="E579" s="187">
        <v>0.18</v>
      </c>
      <c r="F579" s="187">
        <v>0</v>
      </c>
      <c r="G579" s="187">
        <v>0</v>
      </c>
      <c r="H579" s="187">
        <v>0</v>
      </c>
      <c r="I579" s="187">
        <v>0</v>
      </c>
      <c r="J579" s="188">
        <v>0</v>
      </c>
      <c r="K579" s="190"/>
      <c r="L579" s="65"/>
      <c r="M579" s="68"/>
    </row>
    <row r="580" spans="1:13" x14ac:dyDescent="0.25">
      <c r="A580" s="722"/>
      <c r="B580" s="376" t="s">
        <v>66</v>
      </c>
      <c r="C580" s="376"/>
      <c r="D580" s="187">
        <v>12</v>
      </c>
      <c r="E580" s="187">
        <v>12</v>
      </c>
      <c r="F580" s="187">
        <v>0.33</v>
      </c>
      <c r="G580" s="187">
        <v>0.3</v>
      </c>
      <c r="H580" s="187">
        <v>0.56000000000000005</v>
      </c>
      <c r="I580" s="187">
        <v>6.96</v>
      </c>
      <c r="J580" s="188">
        <v>0.15</v>
      </c>
      <c r="K580" s="190"/>
      <c r="L580" s="65"/>
      <c r="M580" s="68"/>
    </row>
    <row r="581" spans="1:13" x14ac:dyDescent="0.25">
      <c r="A581" s="722"/>
      <c r="B581" s="62" t="s">
        <v>287</v>
      </c>
      <c r="C581" s="376"/>
      <c r="D581" s="187">
        <v>0.2</v>
      </c>
      <c r="E581" s="187">
        <v>0.2</v>
      </c>
      <c r="F581" s="187">
        <v>0</v>
      </c>
      <c r="G581" s="187">
        <v>0.28999999999999998</v>
      </c>
      <c r="H581" s="187">
        <v>0</v>
      </c>
      <c r="I581" s="187">
        <v>1.798</v>
      </c>
      <c r="J581" s="188">
        <v>0</v>
      </c>
      <c r="K581" s="190"/>
      <c r="L581" s="65"/>
      <c r="M581" s="68"/>
    </row>
    <row r="582" spans="1:13" x14ac:dyDescent="0.25">
      <c r="A582" s="722"/>
      <c r="B582" s="376"/>
      <c r="C582" s="376"/>
      <c r="D582" s="187"/>
      <c r="E582" s="187"/>
      <c r="F582" s="130">
        <f>SUM(F572:F581)</f>
        <v>5.2399999999999993</v>
      </c>
      <c r="G582" s="130">
        <f>SUM(G572:G581)</f>
        <v>8.4599999999999991</v>
      </c>
      <c r="H582" s="130">
        <f>SUM(H572:H581)</f>
        <v>32.879999999999995</v>
      </c>
      <c r="I582" s="130">
        <f>SUM(I572:I581)</f>
        <v>225.21800000000002</v>
      </c>
      <c r="J582" s="699">
        <f>SUM(J572:J581)</f>
        <v>0.15</v>
      </c>
      <c r="K582" s="190"/>
      <c r="L582" s="65"/>
      <c r="M582" s="68"/>
    </row>
    <row r="583" spans="1:13" x14ac:dyDescent="0.25">
      <c r="A583" s="781"/>
      <c r="B583" s="647" t="s">
        <v>72</v>
      </c>
      <c r="C583" s="105" t="s">
        <v>187</v>
      </c>
      <c r="D583" s="13"/>
      <c r="E583" s="13"/>
      <c r="F583" s="13"/>
      <c r="G583" s="13"/>
      <c r="H583" s="13"/>
      <c r="I583" s="13"/>
      <c r="J583" s="96"/>
      <c r="K583" s="125" t="s">
        <v>188</v>
      </c>
      <c r="L583" s="65"/>
      <c r="M583" s="68"/>
    </row>
    <row r="584" spans="1:13" x14ac:dyDescent="0.25">
      <c r="A584" s="782"/>
      <c r="B584" s="647" t="s">
        <v>184</v>
      </c>
      <c r="C584" s="124"/>
      <c r="D584" s="13">
        <v>30</v>
      </c>
      <c r="E584" s="13">
        <v>30</v>
      </c>
      <c r="F584" s="13"/>
      <c r="G584" s="13"/>
      <c r="H584" s="13"/>
      <c r="I584" s="13"/>
      <c r="J584" s="96"/>
      <c r="K584" s="125"/>
      <c r="L584" s="144"/>
      <c r="M584" s="68"/>
    </row>
    <row r="585" spans="1:13" x14ac:dyDescent="0.25">
      <c r="A585" s="782"/>
      <c r="B585" s="107" t="s">
        <v>120</v>
      </c>
      <c r="C585" s="124"/>
      <c r="D585" s="63">
        <v>32.4</v>
      </c>
      <c r="E585" s="63">
        <v>32.4</v>
      </c>
      <c r="F585" s="63">
        <v>0</v>
      </c>
      <c r="G585" s="63">
        <v>0</v>
      </c>
      <c r="H585" s="63">
        <v>0</v>
      </c>
      <c r="I585" s="63">
        <v>0</v>
      </c>
      <c r="J585" s="96">
        <v>0</v>
      </c>
      <c r="K585" s="125"/>
      <c r="L585" s="144">
        <v>0</v>
      </c>
      <c r="M585" s="68">
        <f>SUM(L585*D585)/1000</f>
        <v>0</v>
      </c>
    </row>
    <row r="586" spans="1:13" x14ac:dyDescent="0.25">
      <c r="A586" s="782"/>
      <c r="B586" s="107" t="s">
        <v>185</v>
      </c>
      <c r="C586" s="107"/>
      <c r="D586" s="63">
        <v>0.3</v>
      </c>
      <c r="E586" s="63">
        <v>0.3</v>
      </c>
      <c r="F586" s="63">
        <v>0.06</v>
      </c>
      <c r="G586" s="63">
        <v>0</v>
      </c>
      <c r="H586" s="63">
        <v>2.07E-2</v>
      </c>
      <c r="I586" s="63">
        <v>0.45540000000000003</v>
      </c>
      <c r="J586" s="96">
        <v>0.03</v>
      </c>
      <c r="K586" s="126"/>
      <c r="L586" s="144">
        <v>400</v>
      </c>
      <c r="M586" s="68">
        <f>SUM(L586*D586)/1000</f>
        <v>0.12</v>
      </c>
    </row>
    <row r="587" spans="1:13" x14ac:dyDescent="0.25">
      <c r="A587" s="782"/>
      <c r="B587" s="107" t="s">
        <v>49</v>
      </c>
      <c r="C587" s="107"/>
      <c r="D587" s="63">
        <v>10</v>
      </c>
      <c r="E587" s="63">
        <v>10</v>
      </c>
      <c r="F587" s="63">
        <v>0</v>
      </c>
      <c r="G587" s="63">
        <v>0</v>
      </c>
      <c r="H587" s="63">
        <v>9.98</v>
      </c>
      <c r="I587" s="63">
        <v>37.9</v>
      </c>
      <c r="J587" s="96">
        <v>0</v>
      </c>
      <c r="K587" s="126"/>
      <c r="L587" s="144">
        <v>50.7</v>
      </c>
      <c r="M587" s="68">
        <f>SUM(L587*D587)/1000</f>
        <v>0.50700000000000001</v>
      </c>
    </row>
    <row r="588" spans="1:13" x14ac:dyDescent="0.25">
      <c r="A588" s="782"/>
      <c r="B588" s="107" t="s">
        <v>19</v>
      </c>
      <c r="C588" s="107"/>
      <c r="D588" s="63">
        <v>150</v>
      </c>
      <c r="E588" s="63">
        <v>150</v>
      </c>
      <c r="F588" s="63">
        <v>0</v>
      </c>
      <c r="G588" s="63">
        <v>0</v>
      </c>
      <c r="H588" s="63">
        <v>0</v>
      </c>
      <c r="I588" s="63">
        <v>0</v>
      </c>
      <c r="J588" s="96">
        <v>0</v>
      </c>
      <c r="K588" s="126"/>
      <c r="L588" s="144">
        <v>0</v>
      </c>
      <c r="M588" s="68">
        <f>SUM(L588*D588)/1000</f>
        <v>0</v>
      </c>
    </row>
    <row r="589" spans="1:13" x14ac:dyDescent="0.25">
      <c r="A589" s="782"/>
      <c r="B589" s="107"/>
      <c r="C589" s="107"/>
      <c r="D589" s="63"/>
      <c r="E589" s="63"/>
      <c r="F589" s="118">
        <f>SUM(F584:F588)</f>
        <v>0.06</v>
      </c>
      <c r="G589" s="118">
        <f>SUM(G584:G588)</f>
        <v>0</v>
      </c>
      <c r="H589" s="267">
        <f>SUM(H584:H588)</f>
        <v>10.0007</v>
      </c>
      <c r="I589" s="267">
        <f>SUM(I584:I588)</f>
        <v>38.355399999999996</v>
      </c>
      <c r="J589" s="119">
        <f>SUM(J584:J588)</f>
        <v>0.03</v>
      </c>
      <c r="K589" s="156"/>
      <c r="L589" s="230"/>
      <c r="M589" s="72">
        <f>SUM(M584:M588)</f>
        <v>0.627</v>
      </c>
    </row>
    <row r="590" spans="1:13" x14ac:dyDescent="0.25">
      <c r="A590" s="5"/>
      <c r="B590" s="124" t="s">
        <v>46</v>
      </c>
      <c r="C590" s="232"/>
      <c r="D590" s="175"/>
      <c r="E590" s="100"/>
      <c r="F590" s="332">
        <f>F582+F589</f>
        <v>5.2999999999999989</v>
      </c>
      <c r="G590" s="332">
        <f>G582+G589</f>
        <v>8.4599999999999991</v>
      </c>
      <c r="H590" s="332">
        <f>H582+H589</f>
        <v>42.880699999999997</v>
      </c>
      <c r="I590" s="332">
        <f>I582+I589</f>
        <v>263.57339999999999</v>
      </c>
      <c r="J590" s="332">
        <f>J582+J589</f>
        <v>0.18</v>
      </c>
      <c r="K590" s="156"/>
      <c r="L590" s="65"/>
      <c r="M590" s="332" t="e">
        <f>SUM(M589,#REF!)</f>
        <v>#REF!</v>
      </c>
    </row>
    <row r="591" spans="1:13" ht="25.5" x14ac:dyDescent="0.25">
      <c r="A591" s="535" t="s">
        <v>138</v>
      </c>
      <c r="B591" s="146"/>
      <c r="C591" s="22"/>
      <c r="D591" s="23"/>
      <c r="E591" s="23"/>
      <c r="F591" s="624">
        <f>F590+F570+F530+F528</f>
        <v>35.42</v>
      </c>
      <c r="G591" s="320">
        <f>G590+G570+G530+G528</f>
        <v>39.478099999999998</v>
      </c>
      <c r="H591" s="320">
        <f>H590+H570+H530+H528</f>
        <v>181.88059999999999</v>
      </c>
      <c r="I591" s="320">
        <f>I590+I570+I530+I528</f>
        <v>1220.1723999999999</v>
      </c>
      <c r="J591" s="320">
        <f>J590+J570+J530+J528</f>
        <v>60.168999999999997</v>
      </c>
      <c r="K591" s="30"/>
      <c r="L591" s="32"/>
      <c r="M591" s="33"/>
    </row>
    <row r="592" spans="1:13" x14ac:dyDescent="0.25">
      <c r="A592" s="5" t="s">
        <v>139</v>
      </c>
      <c r="B592" s="13"/>
      <c r="C592" s="13"/>
      <c r="D592" s="63"/>
      <c r="E592" s="63"/>
      <c r="F592" s="13"/>
      <c r="G592" s="13"/>
      <c r="H592" s="13"/>
      <c r="I592" s="13"/>
      <c r="J592" s="96"/>
      <c r="K592" s="125"/>
      <c r="L592" s="65"/>
      <c r="M592" s="64"/>
    </row>
    <row r="593" spans="1:13" x14ac:dyDescent="0.25">
      <c r="A593" s="5" t="s">
        <v>140</v>
      </c>
      <c r="B593" s="13"/>
      <c r="C593" s="4"/>
      <c r="D593" s="105"/>
      <c r="E593" s="106"/>
      <c r="F593" s="63"/>
      <c r="G593" s="63"/>
      <c r="H593" s="63"/>
      <c r="I593" s="63"/>
      <c r="J593" s="96"/>
      <c r="K593" s="155"/>
      <c r="L593" s="65"/>
      <c r="M593" s="64"/>
    </row>
    <row r="594" spans="1:13" ht="33" customHeight="1" x14ac:dyDescent="0.25">
      <c r="A594" s="781"/>
      <c r="B594" s="338" t="s">
        <v>225</v>
      </c>
      <c r="C594" s="339">
        <v>200</v>
      </c>
      <c r="D594" s="340"/>
      <c r="E594" s="340"/>
      <c r="F594" s="666"/>
      <c r="G594" s="666"/>
      <c r="H594" s="666"/>
      <c r="I594" s="666"/>
      <c r="J594" s="666"/>
      <c r="K594" s="480" t="s">
        <v>226</v>
      </c>
      <c r="L594" s="65"/>
      <c r="M594" s="64"/>
    </row>
    <row r="595" spans="1:13" x14ac:dyDescent="0.25">
      <c r="A595" s="782"/>
      <c r="B595" s="342" t="s">
        <v>227</v>
      </c>
      <c r="C595" s="343"/>
      <c r="D595" s="340">
        <v>29.5</v>
      </c>
      <c r="E595" s="340">
        <v>29.5</v>
      </c>
      <c r="F595" s="340">
        <f>10.3*E595/100</f>
        <v>3.0385000000000004</v>
      </c>
      <c r="G595" s="340">
        <f>1*E595/100</f>
        <v>0.29499999999999998</v>
      </c>
      <c r="H595" s="344">
        <f>67.9*E595/100</f>
        <v>20.030500000000004</v>
      </c>
      <c r="I595" s="345">
        <f>328*E595/100</f>
        <v>96.76</v>
      </c>
      <c r="J595" s="346">
        <v>0</v>
      </c>
      <c r="K595" s="480"/>
      <c r="L595" s="114">
        <v>43.22</v>
      </c>
      <c r="M595" s="68">
        <f>SUM(L595*D595)/1000</f>
        <v>1.2749900000000001</v>
      </c>
    </row>
    <row r="596" spans="1:13" x14ac:dyDescent="0.25">
      <c r="A596" s="782"/>
      <c r="B596" s="342" t="s">
        <v>228</v>
      </c>
      <c r="C596" s="343"/>
      <c r="D596" s="340">
        <v>95.2</v>
      </c>
      <c r="E596" s="340">
        <v>95.2</v>
      </c>
      <c r="F596" s="340">
        <f>2.8*E596/100</f>
        <v>2.6656</v>
      </c>
      <c r="G596" s="340">
        <f>3.2*E596/100</f>
        <v>3.0464000000000002</v>
      </c>
      <c r="H596" s="344">
        <f>4.7*E596/100</f>
        <v>4.4744000000000002</v>
      </c>
      <c r="I596" s="345">
        <f>58*E596/100</f>
        <v>55.216000000000001</v>
      </c>
      <c r="J596" s="346">
        <f>1.3*E596/100</f>
        <v>1.2376</v>
      </c>
      <c r="K596" s="480"/>
      <c r="L596" s="114">
        <v>0</v>
      </c>
      <c r="M596" s="68">
        <f>SUM(L596*D596)/1000</f>
        <v>0</v>
      </c>
    </row>
    <row r="597" spans="1:13" x14ac:dyDescent="0.25">
      <c r="A597" s="782"/>
      <c r="B597" s="342" t="s">
        <v>229</v>
      </c>
      <c r="C597" s="343"/>
      <c r="D597" s="340">
        <v>71.400000000000006</v>
      </c>
      <c r="E597" s="340">
        <v>71.400000000000006</v>
      </c>
      <c r="F597" s="340">
        <v>0</v>
      </c>
      <c r="G597" s="340">
        <v>0</v>
      </c>
      <c r="H597" s="344">
        <v>0</v>
      </c>
      <c r="I597" s="345">
        <v>0</v>
      </c>
      <c r="J597" s="346">
        <v>0</v>
      </c>
      <c r="K597" s="480"/>
      <c r="L597" s="114">
        <v>32.659999999999997</v>
      </c>
      <c r="M597" s="68">
        <f>SUM(L597*D597)/1000</f>
        <v>2.3319239999999999</v>
      </c>
    </row>
    <row r="598" spans="1:13" x14ac:dyDescent="0.25">
      <c r="A598" s="782"/>
      <c r="B598" s="342" t="s">
        <v>230</v>
      </c>
      <c r="C598" s="343"/>
      <c r="D598" s="340">
        <v>15</v>
      </c>
      <c r="E598" s="340">
        <v>15</v>
      </c>
      <c r="F598" s="340">
        <v>0</v>
      </c>
      <c r="G598" s="340">
        <v>0</v>
      </c>
      <c r="H598" s="347">
        <f>99.8*E598/100</f>
        <v>14.97</v>
      </c>
      <c r="I598" s="345">
        <f>379*E598/100</f>
        <v>56.85</v>
      </c>
      <c r="J598" s="346">
        <v>0</v>
      </c>
      <c r="K598" s="480"/>
      <c r="L598" s="114">
        <v>376.98</v>
      </c>
      <c r="M598" s="68">
        <f>SUM(L598*D598)/1000</f>
        <v>5.6547000000000009</v>
      </c>
    </row>
    <row r="599" spans="1:13" x14ac:dyDescent="0.25">
      <c r="A599" s="782"/>
      <c r="B599" s="444" t="s">
        <v>231</v>
      </c>
      <c r="C599" s="445"/>
      <c r="D599" s="386">
        <v>0.3</v>
      </c>
      <c r="E599" s="386">
        <v>0.3</v>
      </c>
      <c r="F599" s="386">
        <v>0</v>
      </c>
      <c r="G599" s="386">
        <v>0</v>
      </c>
      <c r="H599" s="386">
        <v>0</v>
      </c>
      <c r="I599" s="447">
        <v>0</v>
      </c>
      <c r="J599" s="448">
        <v>0</v>
      </c>
      <c r="K599" s="693"/>
      <c r="L599" s="114">
        <v>50.7</v>
      </c>
      <c r="M599" s="68">
        <f>SUM(L599*D599)/1000</f>
        <v>1.5210000000000001E-2</v>
      </c>
    </row>
    <row r="600" spans="1:13" x14ac:dyDescent="0.25">
      <c r="A600" s="782"/>
      <c r="B600" s="420"/>
      <c r="C600" s="421"/>
      <c r="D600" s="366"/>
      <c r="E600" s="366"/>
      <c r="F600" s="370">
        <f>SUM(F595:F599)</f>
        <v>5.7041000000000004</v>
      </c>
      <c r="G600" s="370">
        <f>SUM(G595:G599)</f>
        <v>3.3414000000000001</v>
      </c>
      <c r="H600" s="694">
        <f>SUM(H595:H599)</f>
        <v>39.474900000000005</v>
      </c>
      <c r="I600" s="370">
        <f>SUM(I595:I599)</f>
        <v>208.82599999999999</v>
      </c>
      <c r="J600" s="370">
        <f>SUM(J595:J599)</f>
        <v>1.2376</v>
      </c>
      <c r="K600" s="422"/>
      <c r="L600" s="114"/>
      <c r="M600" s="68"/>
    </row>
    <row r="601" spans="1:13" x14ac:dyDescent="0.25">
      <c r="A601" s="782"/>
      <c r="B601" s="338" t="s">
        <v>56</v>
      </c>
      <c r="C601" s="504">
        <v>180</v>
      </c>
      <c r="D601" s="505"/>
      <c r="E601" s="505"/>
      <c r="F601" s="506"/>
      <c r="G601" s="506"/>
      <c r="H601" s="506"/>
      <c r="I601" s="506"/>
      <c r="J601" s="506"/>
      <c r="K601" s="507" t="s">
        <v>249</v>
      </c>
      <c r="L601" s="65"/>
      <c r="M601" s="64"/>
    </row>
    <row r="602" spans="1:13" x14ac:dyDescent="0.25">
      <c r="A602" s="782"/>
      <c r="B602" s="342" t="s">
        <v>250</v>
      </c>
      <c r="C602" s="343"/>
      <c r="D602" s="340">
        <v>3</v>
      </c>
      <c r="E602" s="340">
        <v>3</v>
      </c>
      <c r="F602" s="340">
        <f>15*E602/100</f>
        <v>0.45</v>
      </c>
      <c r="G602" s="340">
        <f>3.6*E602/100</f>
        <v>0.10800000000000001</v>
      </c>
      <c r="H602" s="340">
        <f>7*E602/100</f>
        <v>0.21</v>
      </c>
      <c r="I602" s="345">
        <f>118.7*E602/100</f>
        <v>3.5610000000000004</v>
      </c>
      <c r="J602" s="346">
        <v>0</v>
      </c>
      <c r="K602" s="480"/>
      <c r="L602" s="65"/>
      <c r="M602" s="64"/>
    </row>
    <row r="603" spans="1:13" x14ac:dyDescent="0.25">
      <c r="A603" s="782"/>
      <c r="B603" s="342" t="s">
        <v>229</v>
      </c>
      <c r="C603" s="343"/>
      <c r="D603" s="340">
        <v>108</v>
      </c>
      <c r="E603" s="340">
        <v>108</v>
      </c>
      <c r="F603" s="340">
        <v>0</v>
      </c>
      <c r="G603" s="340">
        <v>0</v>
      </c>
      <c r="H603" s="340">
        <v>0</v>
      </c>
      <c r="I603" s="345">
        <v>0</v>
      </c>
      <c r="J603" s="346">
        <v>0</v>
      </c>
      <c r="K603" s="480"/>
      <c r="L603" s="65"/>
      <c r="M603" s="64"/>
    </row>
    <row r="604" spans="1:13" x14ac:dyDescent="0.25">
      <c r="A604" s="782"/>
      <c r="B604" s="342" t="s">
        <v>230</v>
      </c>
      <c r="C604" s="343"/>
      <c r="D604" s="340">
        <v>10</v>
      </c>
      <c r="E604" s="340">
        <v>10</v>
      </c>
      <c r="F604" s="340">
        <v>0</v>
      </c>
      <c r="G604" s="340">
        <v>0</v>
      </c>
      <c r="H604" s="340">
        <f>99.8*E604/100</f>
        <v>9.98</v>
      </c>
      <c r="I604" s="345">
        <f>379*E604/100</f>
        <v>37.9</v>
      </c>
      <c r="J604" s="346">
        <v>0</v>
      </c>
      <c r="K604" s="480"/>
      <c r="L604" s="114">
        <v>375</v>
      </c>
      <c r="M604" s="68">
        <f>SUM(L604*D604)/1000</f>
        <v>3.75</v>
      </c>
    </row>
    <row r="605" spans="1:13" x14ac:dyDescent="0.25">
      <c r="A605" s="782"/>
      <c r="B605" s="342" t="s">
        <v>228</v>
      </c>
      <c r="C605" s="343"/>
      <c r="D605" s="340">
        <v>90</v>
      </c>
      <c r="E605" s="340">
        <v>90</v>
      </c>
      <c r="F605" s="340">
        <v>2.8</v>
      </c>
      <c r="G605" s="340">
        <v>3.2</v>
      </c>
      <c r="H605" s="340">
        <v>4.7</v>
      </c>
      <c r="I605" s="345">
        <v>58</v>
      </c>
      <c r="J605" s="346">
        <v>1.3</v>
      </c>
      <c r="K605" s="480"/>
      <c r="L605" s="114">
        <v>50</v>
      </c>
      <c r="M605" s="68">
        <f>SUM(L605*D605)/1000</f>
        <v>4.5</v>
      </c>
    </row>
    <row r="606" spans="1:13" x14ac:dyDescent="0.25">
      <c r="A606" s="782"/>
      <c r="B606" s="678"/>
      <c r="C606" s="254"/>
      <c r="D606" s="187"/>
      <c r="E606" s="187"/>
      <c r="F606" s="130">
        <f>SUM(F602:F605)</f>
        <v>3.25</v>
      </c>
      <c r="G606" s="130">
        <f>SUM(G602:G605)</f>
        <v>3.3080000000000003</v>
      </c>
      <c r="H606" s="130">
        <f>SUM(H602:H605)</f>
        <v>14.89</v>
      </c>
      <c r="I606" s="130">
        <f>SUM(I602:I605)</f>
        <v>99.460999999999999</v>
      </c>
      <c r="J606" s="131">
        <f>SUM(J602:J605)</f>
        <v>1.3</v>
      </c>
      <c r="K606" s="158"/>
      <c r="L606" s="114">
        <v>0</v>
      </c>
      <c r="M606" s="68">
        <f>SUM(L606*D606)/1000</f>
        <v>0</v>
      </c>
    </row>
    <row r="607" spans="1:13" x14ac:dyDescent="0.25">
      <c r="A607" s="783"/>
      <c r="B607" s="768" t="s">
        <v>137</v>
      </c>
      <c r="C607" s="339">
        <v>25</v>
      </c>
      <c r="D607" s="340">
        <v>25</v>
      </c>
      <c r="E607" s="340">
        <v>25</v>
      </c>
      <c r="F607" s="401">
        <f>7.5*E607/100</f>
        <v>1.875</v>
      </c>
      <c r="G607" s="401">
        <f>11.8*E607/100</f>
        <v>2.95</v>
      </c>
      <c r="H607" s="401">
        <f>74.9*E607/100</f>
        <v>18.725000000000001</v>
      </c>
      <c r="I607" s="429">
        <f>417.1*E607/100</f>
        <v>104.27500000000001</v>
      </c>
      <c r="J607" s="411">
        <v>0</v>
      </c>
      <c r="K607" s="480" t="s">
        <v>73</v>
      </c>
      <c r="L607" s="79"/>
      <c r="M607" s="590"/>
    </row>
    <row r="608" spans="1:13" ht="15" hidden="1" customHeight="1" x14ac:dyDescent="0.25">
      <c r="A608" s="781"/>
      <c r="B608" s="138" t="s">
        <v>57</v>
      </c>
      <c r="C608" s="150"/>
      <c r="D608" s="63"/>
      <c r="E608" s="13"/>
      <c r="F608" s="151"/>
      <c r="G608" s="151"/>
      <c r="H608" s="151"/>
      <c r="I608" s="151"/>
      <c r="J608" s="151"/>
      <c r="K608" s="480" t="s">
        <v>73</v>
      </c>
      <c r="L608" s="246"/>
      <c r="M608" s="247"/>
    </row>
    <row r="609" spans="1:13" ht="15" customHeight="1" x14ac:dyDescent="0.25">
      <c r="A609" s="782"/>
      <c r="B609" s="106" t="s">
        <v>432</v>
      </c>
      <c r="C609" s="150"/>
      <c r="D609" s="63"/>
      <c r="E609" s="13"/>
      <c r="F609" s="769"/>
      <c r="G609" s="769"/>
      <c r="H609" s="769"/>
      <c r="I609" s="769"/>
      <c r="J609" s="769"/>
      <c r="K609" s="480"/>
      <c r="L609" s="246"/>
      <c r="M609" s="247"/>
    </row>
    <row r="610" spans="1:13" x14ac:dyDescent="0.25">
      <c r="A610" s="782"/>
      <c r="B610" s="64" t="s">
        <v>410</v>
      </c>
      <c r="C610" s="64"/>
      <c r="D610" s="64">
        <v>100</v>
      </c>
      <c r="E610" s="64">
        <v>100</v>
      </c>
      <c r="F610" s="69">
        <v>0.3</v>
      </c>
      <c r="G610" s="69">
        <v>0.2</v>
      </c>
      <c r="H610" s="69">
        <v>11.4</v>
      </c>
      <c r="I610" s="69">
        <v>52</v>
      </c>
      <c r="J610" s="69"/>
      <c r="K610" s="480" t="s">
        <v>73</v>
      </c>
      <c r="L610" s="246"/>
      <c r="M610" s="247"/>
    </row>
    <row r="611" spans="1:13" x14ac:dyDescent="0.25">
      <c r="A611" s="782"/>
      <c r="B611" s="124" t="s">
        <v>57</v>
      </c>
      <c r="C611" s="106"/>
      <c r="D611" s="63"/>
      <c r="E611" s="13"/>
      <c r="F611" s="282">
        <f>F600+F606+F607+F610</f>
        <v>11.129100000000001</v>
      </c>
      <c r="G611" s="282">
        <f>G600+G606+G607+G610</f>
        <v>9.7993999999999986</v>
      </c>
      <c r="H611" s="282">
        <f>H600+H606+H607+H610</f>
        <v>84.489900000000006</v>
      </c>
      <c r="I611" s="282">
        <f>I600+I606+I607+I610</f>
        <v>464.56200000000001</v>
      </c>
      <c r="J611" s="142">
        <f>J600+J606+J607+J610</f>
        <v>2.5376000000000003</v>
      </c>
      <c r="K611" s="767"/>
      <c r="L611" s="246"/>
      <c r="M611" s="247"/>
    </row>
    <row r="612" spans="1:13" x14ac:dyDescent="0.25">
      <c r="A612" s="5" t="s">
        <v>142</v>
      </c>
      <c r="B612" s="13"/>
      <c r="C612" s="4"/>
      <c r="D612" s="105"/>
      <c r="E612" s="106"/>
      <c r="F612" s="63"/>
      <c r="G612" s="63"/>
      <c r="H612" s="63"/>
      <c r="I612" s="63"/>
      <c r="J612" s="96"/>
      <c r="K612" s="126"/>
      <c r="L612" s="65"/>
      <c r="M612" s="64"/>
    </row>
    <row r="613" spans="1:13" ht="29.25" x14ac:dyDescent="0.25">
      <c r="A613" s="781"/>
      <c r="B613" s="351" t="s">
        <v>275</v>
      </c>
      <c r="C613" s="339">
        <v>200</v>
      </c>
      <c r="D613" s="352"/>
      <c r="E613" s="340"/>
      <c r="F613" s="666"/>
      <c r="G613" s="666"/>
      <c r="H613" s="666"/>
      <c r="I613" s="666"/>
      <c r="J613" s="666"/>
      <c r="K613" s="481" t="s">
        <v>277</v>
      </c>
      <c r="L613" s="65"/>
      <c r="M613" s="64"/>
    </row>
    <row r="614" spans="1:13" x14ac:dyDescent="0.25">
      <c r="A614" s="782"/>
      <c r="B614" s="353" t="s">
        <v>237</v>
      </c>
      <c r="C614" s="343"/>
      <c r="D614" s="340">
        <v>80</v>
      </c>
      <c r="E614" s="340">
        <v>60</v>
      </c>
      <c r="F614" s="340">
        <f>E614*2/100</f>
        <v>1.2</v>
      </c>
      <c r="G614" s="340">
        <f>0.4*E614/100</f>
        <v>0.24</v>
      </c>
      <c r="H614" s="340">
        <f>16.3*E614/100</f>
        <v>9.7799999999999994</v>
      </c>
      <c r="I614" s="340">
        <f>77*E614/100</f>
        <v>46.2</v>
      </c>
      <c r="J614" s="346">
        <v>12</v>
      </c>
      <c r="K614" s="480"/>
      <c r="L614" s="114">
        <v>20.7</v>
      </c>
      <c r="M614" s="68">
        <f t="shared" ref="M614:M620" si="20">SUM(L614*D614)/1000</f>
        <v>1.6559999999999999</v>
      </c>
    </row>
    <row r="615" spans="1:13" x14ac:dyDescent="0.25">
      <c r="A615" s="782"/>
      <c r="B615" s="353" t="s">
        <v>276</v>
      </c>
      <c r="C615" s="343"/>
      <c r="D615" s="340">
        <v>8</v>
      </c>
      <c r="E615" s="340">
        <v>8</v>
      </c>
      <c r="F615" s="340">
        <f>10.4*E615/100</f>
        <v>0.83200000000000007</v>
      </c>
      <c r="G615" s="340">
        <f>1.1*E615/100</f>
        <v>8.8000000000000009E-2</v>
      </c>
      <c r="H615" s="340">
        <f>69.7*E615/100</f>
        <v>5.5760000000000005</v>
      </c>
      <c r="I615" s="340">
        <f>337*E615/100</f>
        <v>26.96</v>
      </c>
      <c r="J615" s="346">
        <v>0</v>
      </c>
      <c r="K615" s="480"/>
      <c r="L615" s="114">
        <v>21.89</v>
      </c>
      <c r="M615" s="68">
        <f t="shared" si="20"/>
        <v>0.17512</v>
      </c>
    </row>
    <row r="616" spans="1:13" x14ac:dyDescent="0.25">
      <c r="A616" s="782"/>
      <c r="B616" s="353" t="s">
        <v>239</v>
      </c>
      <c r="C616" s="343"/>
      <c r="D616" s="340">
        <v>10</v>
      </c>
      <c r="E616" s="340">
        <v>8</v>
      </c>
      <c r="F616" s="340">
        <f>1.4*E616/100</f>
        <v>0.11199999999999999</v>
      </c>
      <c r="G616" s="340">
        <v>0</v>
      </c>
      <c r="H616" s="340">
        <f>8.2*E616/100</f>
        <v>0.65599999999999992</v>
      </c>
      <c r="I616" s="340">
        <f>8.2*E616/100</f>
        <v>0.65599999999999992</v>
      </c>
      <c r="J616" s="346">
        <v>0.8</v>
      </c>
      <c r="K616" s="480"/>
      <c r="L616" s="114">
        <v>38.5</v>
      </c>
      <c r="M616" s="68">
        <f t="shared" si="20"/>
        <v>0.38500000000000001</v>
      </c>
    </row>
    <row r="617" spans="1:13" x14ac:dyDescent="0.25">
      <c r="A617" s="782"/>
      <c r="B617" s="353" t="s">
        <v>238</v>
      </c>
      <c r="C617" s="343"/>
      <c r="D617" s="340">
        <v>10</v>
      </c>
      <c r="E617" s="340">
        <v>8</v>
      </c>
      <c r="F617" s="340">
        <f>1.3*E617/100</f>
        <v>0.10400000000000001</v>
      </c>
      <c r="G617" s="340">
        <v>0</v>
      </c>
      <c r="H617" s="340">
        <f>6.9*E617/100</f>
        <v>0.55200000000000005</v>
      </c>
      <c r="I617" s="340">
        <f>35*E617/100</f>
        <v>2.8</v>
      </c>
      <c r="J617" s="346">
        <v>0.4</v>
      </c>
      <c r="K617" s="480"/>
      <c r="L617" s="114">
        <v>21.98</v>
      </c>
      <c r="M617" s="68">
        <f t="shared" si="20"/>
        <v>0.21980000000000002</v>
      </c>
    </row>
    <row r="618" spans="1:13" x14ac:dyDescent="0.25">
      <c r="A618" s="782"/>
      <c r="B618" s="353" t="s">
        <v>241</v>
      </c>
      <c r="C618" s="343"/>
      <c r="D618" s="340">
        <v>2</v>
      </c>
      <c r="E618" s="340">
        <v>2</v>
      </c>
      <c r="F618" s="340">
        <v>0</v>
      </c>
      <c r="G618" s="340">
        <f>99.9*E618/100</f>
        <v>1.9980000000000002</v>
      </c>
      <c r="H618" s="340">
        <v>0</v>
      </c>
      <c r="I618" s="340">
        <f>899*E618/100</f>
        <v>17.98</v>
      </c>
      <c r="J618" s="346">
        <v>0</v>
      </c>
      <c r="K618" s="480"/>
      <c r="L618" s="114">
        <v>104</v>
      </c>
      <c r="M618" s="68">
        <f t="shared" si="20"/>
        <v>0.20799999999999999</v>
      </c>
    </row>
    <row r="619" spans="1:13" x14ac:dyDescent="0.25">
      <c r="A619" s="782"/>
      <c r="B619" s="353" t="s">
        <v>231</v>
      </c>
      <c r="C619" s="343"/>
      <c r="D619" s="340">
        <v>1.3</v>
      </c>
      <c r="E619" s="340">
        <v>1.3</v>
      </c>
      <c r="F619" s="340">
        <v>0</v>
      </c>
      <c r="G619" s="340">
        <v>0</v>
      </c>
      <c r="H619" s="340">
        <v>0</v>
      </c>
      <c r="I619" s="340">
        <v>0</v>
      </c>
      <c r="J619" s="346">
        <v>0</v>
      </c>
      <c r="K619" s="480"/>
      <c r="L619" s="114">
        <v>92.2</v>
      </c>
      <c r="M619" s="68">
        <f t="shared" si="20"/>
        <v>0.11986000000000001</v>
      </c>
    </row>
    <row r="620" spans="1:13" x14ac:dyDescent="0.25">
      <c r="A620" s="782"/>
      <c r="B620" s="353" t="s">
        <v>229</v>
      </c>
      <c r="C620" s="343"/>
      <c r="D620" s="340">
        <v>140</v>
      </c>
      <c r="E620" s="340">
        <v>140</v>
      </c>
      <c r="F620" s="340">
        <v>0</v>
      </c>
      <c r="G620" s="340">
        <v>0</v>
      </c>
      <c r="H620" s="340">
        <v>0</v>
      </c>
      <c r="I620" s="340">
        <v>0</v>
      </c>
      <c r="J620" s="346">
        <v>0</v>
      </c>
      <c r="K620" s="480"/>
      <c r="L620" s="114">
        <v>153</v>
      </c>
      <c r="M620" s="68">
        <f t="shared" si="20"/>
        <v>21.42</v>
      </c>
    </row>
    <row r="621" spans="1:13" x14ac:dyDescent="0.25">
      <c r="A621" s="782"/>
      <c r="B621" s="107"/>
      <c r="C621" s="107"/>
      <c r="D621" s="63"/>
      <c r="E621" s="63"/>
      <c r="F621" s="118">
        <f>SUM(F614:F620)</f>
        <v>2.2480000000000002</v>
      </c>
      <c r="G621" s="118">
        <f>SUM(G614:G620)</f>
        <v>2.3260000000000001</v>
      </c>
      <c r="H621" s="118">
        <f>SUM(H614:H620)</f>
        <v>16.564</v>
      </c>
      <c r="I621" s="118">
        <f>SUM(I614:I620)</f>
        <v>94.596000000000004</v>
      </c>
      <c r="J621" s="119">
        <f>SUM(J614:J620)</f>
        <v>13.200000000000001</v>
      </c>
      <c r="K621" s="156"/>
      <c r="L621" s="65"/>
      <c r="M621" s="72">
        <f>SUM(M614:M620)</f>
        <v>24.183780000000002</v>
      </c>
    </row>
    <row r="622" spans="1:13" x14ac:dyDescent="0.25">
      <c r="A622" s="782"/>
      <c r="B622" s="737" t="s">
        <v>167</v>
      </c>
      <c r="C622" s="124">
        <v>200</v>
      </c>
      <c r="D622" s="13"/>
      <c r="E622" s="13"/>
      <c r="F622" s="124"/>
      <c r="G622" s="107"/>
      <c r="H622" s="107"/>
      <c r="I622" s="107"/>
      <c r="J622" s="96"/>
      <c r="K622" s="125" t="s">
        <v>195</v>
      </c>
      <c r="L622" s="65"/>
      <c r="M622" s="64"/>
    </row>
    <row r="623" spans="1:13" x14ac:dyDescent="0.25">
      <c r="A623" s="782"/>
      <c r="B623" s="96" t="s">
        <v>274</v>
      </c>
      <c r="C623" s="96"/>
      <c r="D623" s="63">
        <v>153.6</v>
      </c>
      <c r="E623" s="63">
        <v>108.8</v>
      </c>
      <c r="F623" s="102">
        <v>16.829999999999998</v>
      </c>
      <c r="G623" s="63">
        <v>14.49</v>
      </c>
      <c r="H623" s="63">
        <v>0</v>
      </c>
      <c r="I623" s="63">
        <v>198</v>
      </c>
      <c r="J623" s="96">
        <v>1.8</v>
      </c>
      <c r="K623" s="126"/>
      <c r="L623" s="114">
        <v>368.17</v>
      </c>
      <c r="M623" s="68">
        <f t="shared" ref="M623:M628" si="21">SUM(L623*D153)/1000</f>
        <v>19.144839999999999</v>
      </c>
    </row>
    <row r="624" spans="1:13" x14ac:dyDescent="0.25">
      <c r="A624" s="782"/>
      <c r="B624" s="96" t="s">
        <v>37</v>
      </c>
      <c r="C624" s="96"/>
      <c r="D624" s="63">
        <v>8.4</v>
      </c>
      <c r="E624" s="63">
        <v>8.4</v>
      </c>
      <c r="F624" s="102">
        <v>6.4000000000000001E-2</v>
      </c>
      <c r="G624" s="63">
        <v>5.8</v>
      </c>
      <c r="H624" s="63">
        <v>0.104</v>
      </c>
      <c r="I624" s="63">
        <v>52.88</v>
      </c>
      <c r="J624" s="96">
        <v>0</v>
      </c>
      <c r="K624" s="126"/>
      <c r="L624" s="114">
        <v>35</v>
      </c>
      <c r="M624" s="68">
        <f t="shared" si="21"/>
        <v>0.28000000000000003</v>
      </c>
    </row>
    <row r="625" spans="1:13" x14ac:dyDescent="0.25">
      <c r="A625" s="782"/>
      <c r="B625" s="96" t="s">
        <v>32</v>
      </c>
      <c r="C625" s="96"/>
      <c r="D625" s="63">
        <v>9.6</v>
      </c>
      <c r="E625" s="63">
        <v>8.4</v>
      </c>
      <c r="F625" s="102">
        <v>0.126</v>
      </c>
      <c r="G625" s="63">
        <v>1.7999999999999999E-2</v>
      </c>
      <c r="H625" s="63">
        <v>0.73799999999999999</v>
      </c>
      <c r="I625" s="63">
        <v>3.69</v>
      </c>
      <c r="J625" s="96">
        <v>0.9</v>
      </c>
      <c r="K625" s="126"/>
      <c r="L625" s="114">
        <v>43.22</v>
      </c>
      <c r="M625" s="68">
        <f t="shared" si="21"/>
        <v>0.47541999999999995</v>
      </c>
    </row>
    <row r="626" spans="1:13" x14ac:dyDescent="0.25">
      <c r="A626" s="782"/>
      <c r="B626" s="96" t="s">
        <v>59</v>
      </c>
      <c r="C626" s="96"/>
      <c r="D626" s="63">
        <v>12</v>
      </c>
      <c r="E626" s="63">
        <v>9.6</v>
      </c>
      <c r="F626" s="102">
        <v>0.16900000000000001</v>
      </c>
      <c r="G626" s="63">
        <v>1.2999999999999999E-2</v>
      </c>
      <c r="H626" s="63">
        <v>0.89700000000000002</v>
      </c>
      <c r="I626" s="63">
        <v>4.55</v>
      </c>
      <c r="J626" s="96">
        <v>0.65</v>
      </c>
      <c r="K626" s="126"/>
      <c r="L626" s="114">
        <v>0</v>
      </c>
      <c r="M626" s="68">
        <f t="shared" si="21"/>
        <v>0</v>
      </c>
    </row>
    <row r="627" spans="1:13" x14ac:dyDescent="0.25">
      <c r="A627" s="782"/>
      <c r="B627" s="96" t="s">
        <v>113</v>
      </c>
      <c r="C627" s="96"/>
      <c r="D627" s="63">
        <v>2.4</v>
      </c>
      <c r="E627" s="63">
        <v>2.4</v>
      </c>
      <c r="F627" s="102">
        <v>0.33600000000000002</v>
      </c>
      <c r="G627" s="63">
        <v>0</v>
      </c>
      <c r="H627" s="63">
        <v>1.33</v>
      </c>
      <c r="I627" s="63">
        <v>7.14</v>
      </c>
      <c r="J627" s="96">
        <v>3.15</v>
      </c>
      <c r="K627" s="126"/>
      <c r="L627" s="114">
        <v>21.98</v>
      </c>
      <c r="M627" s="68">
        <f t="shared" si="21"/>
        <v>0.68137999999999999</v>
      </c>
    </row>
    <row r="628" spans="1:13" x14ac:dyDescent="0.25">
      <c r="A628" s="782"/>
      <c r="B628" s="96" t="s">
        <v>18</v>
      </c>
      <c r="C628" s="96"/>
      <c r="D628" s="63">
        <v>42</v>
      </c>
      <c r="E628" s="63">
        <v>42</v>
      </c>
      <c r="F628" s="102">
        <v>3.22</v>
      </c>
      <c r="G628" s="63">
        <v>0.46</v>
      </c>
      <c r="H628" s="63">
        <v>32.844000000000001</v>
      </c>
      <c r="I628" s="63">
        <v>151.80000000000001</v>
      </c>
      <c r="J628" s="96">
        <v>0</v>
      </c>
      <c r="K628" s="126"/>
      <c r="L628" s="114">
        <v>92.2</v>
      </c>
      <c r="M628" s="68">
        <f t="shared" si="21"/>
        <v>0.36880000000000002</v>
      </c>
    </row>
    <row r="629" spans="1:13" x14ac:dyDescent="0.25">
      <c r="A629" s="782"/>
      <c r="B629" s="101" t="s">
        <v>112</v>
      </c>
      <c r="C629" s="101"/>
      <c r="D629" s="100">
        <v>2</v>
      </c>
      <c r="E629" s="100">
        <v>2</v>
      </c>
      <c r="F629" s="102">
        <v>0</v>
      </c>
      <c r="G629" s="63">
        <v>0</v>
      </c>
      <c r="H629" s="63">
        <v>0</v>
      </c>
      <c r="I629" s="63">
        <v>0</v>
      </c>
      <c r="J629" s="96">
        <v>0</v>
      </c>
      <c r="K629" s="126"/>
      <c r="L629" s="114">
        <v>4.6900000000000004</v>
      </c>
      <c r="M629" s="68">
        <f>SUM(L629*D159)/40</f>
        <v>0.58625000000000005</v>
      </c>
    </row>
    <row r="630" spans="1:13" x14ac:dyDescent="0.25">
      <c r="A630" s="782"/>
      <c r="B630" s="101"/>
      <c r="C630" s="101"/>
      <c r="D630" s="100"/>
      <c r="E630" s="100"/>
      <c r="F630" s="192">
        <f>SUM(F623:F629)</f>
        <v>20.744999999999997</v>
      </c>
      <c r="G630" s="118">
        <f>SUM(G623:G629)</f>
        <v>20.781000000000002</v>
      </c>
      <c r="H630" s="118">
        <f>SUM(H623:H629)</f>
        <v>35.913000000000004</v>
      </c>
      <c r="I630" s="118">
        <f>SUM(I623:I629)</f>
        <v>418.06</v>
      </c>
      <c r="J630" s="139">
        <f>SUM(J623:J629)</f>
        <v>6.5</v>
      </c>
      <c r="K630" s="126"/>
      <c r="L630" s="114"/>
      <c r="M630" s="68"/>
    </row>
    <row r="631" spans="1:13" ht="21.75" customHeight="1" x14ac:dyDescent="0.25">
      <c r="A631" s="782"/>
      <c r="B631" s="138" t="s">
        <v>180</v>
      </c>
      <c r="C631" s="124">
        <v>180</v>
      </c>
      <c r="D631" s="13"/>
      <c r="E631" s="13"/>
      <c r="F631" s="63"/>
      <c r="G631" s="63"/>
      <c r="H631" s="63"/>
      <c r="I631" s="63"/>
      <c r="J631" s="96"/>
      <c r="K631" s="108" t="s">
        <v>181</v>
      </c>
      <c r="L631" s="65"/>
      <c r="M631" s="64"/>
    </row>
    <row r="632" spans="1:13" ht="18" customHeight="1" x14ac:dyDescent="0.25">
      <c r="A632" s="782"/>
      <c r="B632" s="107" t="s">
        <v>182</v>
      </c>
      <c r="C632" s="107"/>
      <c r="D632" s="63">
        <v>18</v>
      </c>
      <c r="E632" s="63" t="s">
        <v>183</v>
      </c>
      <c r="F632" s="63">
        <v>0.93600000000000005</v>
      </c>
      <c r="G632" s="63">
        <v>5.3999999999999999E-2</v>
      </c>
      <c r="H632" s="63">
        <v>9.18</v>
      </c>
      <c r="I632" s="63">
        <v>41.76</v>
      </c>
      <c r="J632" s="96">
        <v>0.72</v>
      </c>
      <c r="K632" s="136"/>
      <c r="L632" s="114">
        <v>90</v>
      </c>
      <c r="M632" s="68">
        <f>SUM(L632*D632)/1000</f>
        <v>1.62</v>
      </c>
    </row>
    <row r="633" spans="1:13" x14ac:dyDescent="0.25">
      <c r="A633" s="782"/>
      <c r="B633" s="107" t="s">
        <v>38</v>
      </c>
      <c r="C633" s="107"/>
      <c r="D633" s="63">
        <v>14.4</v>
      </c>
      <c r="E633" s="63">
        <v>14.4</v>
      </c>
      <c r="F633" s="63">
        <v>0</v>
      </c>
      <c r="G633" s="63">
        <v>0</v>
      </c>
      <c r="H633" s="63">
        <v>14.371</v>
      </c>
      <c r="I633" s="63">
        <v>54.576000000000001</v>
      </c>
      <c r="J633" s="96">
        <v>0</v>
      </c>
      <c r="K633" s="136"/>
      <c r="L633" s="114">
        <v>50</v>
      </c>
      <c r="M633" s="68">
        <f>SUM(L633*D633)/1000</f>
        <v>0.72</v>
      </c>
    </row>
    <row r="634" spans="1:13" x14ac:dyDescent="0.25">
      <c r="A634" s="782"/>
      <c r="B634" s="107" t="s">
        <v>19</v>
      </c>
      <c r="C634" s="107"/>
      <c r="D634" s="63">
        <v>182.7</v>
      </c>
      <c r="E634" s="63">
        <v>182.7</v>
      </c>
      <c r="F634" s="63">
        <v>0</v>
      </c>
      <c r="G634" s="63">
        <v>0</v>
      </c>
      <c r="H634" s="63">
        <v>0</v>
      </c>
      <c r="I634" s="63">
        <v>0</v>
      </c>
      <c r="J634" s="96">
        <v>0</v>
      </c>
      <c r="K634" s="136"/>
      <c r="L634" s="114">
        <v>0</v>
      </c>
      <c r="M634" s="68">
        <f>SUM(L634*D634)/1000</f>
        <v>0</v>
      </c>
    </row>
    <row r="635" spans="1:13" x14ac:dyDescent="0.25">
      <c r="A635" s="782"/>
      <c r="B635" s="157"/>
      <c r="C635" s="157"/>
      <c r="D635" s="51"/>
      <c r="E635" s="51"/>
      <c r="F635" s="118">
        <f>SUM(F632:F634)</f>
        <v>0.93600000000000005</v>
      </c>
      <c r="G635" s="118">
        <f>SUM(G632:G634)</f>
        <v>5.3999999999999999E-2</v>
      </c>
      <c r="H635" s="118">
        <f>SUM(H632:H634)</f>
        <v>23.551000000000002</v>
      </c>
      <c r="I635" s="118">
        <f>SUM(I632:I634)</f>
        <v>96.335999999999999</v>
      </c>
      <c r="J635" s="118">
        <f>SUM(J632:J634)</f>
        <v>0.72</v>
      </c>
      <c r="K635" s="156"/>
      <c r="L635" s="114"/>
      <c r="M635" s="72">
        <f>SUM(M632:M634)</f>
        <v>2.34</v>
      </c>
    </row>
    <row r="636" spans="1:13" x14ac:dyDescent="0.25">
      <c r="A636" s="782"/>
      <c r="B636" s="647" t="s">
        <v>40</v>
      </c>
      <c r="C636" s="124">
        <v>40</v>
      </c>
      <c r="D636" s="63">
        <v>40</v>
      </c>
      <c r="E636" s="63">
        <v>40</v>
      </c>
      <c r="F636" s="118">
        <v>3.85</v>
      </c>
      <c r="G636" s="118">
        <v>1.5</v>
      </c>
      <c r="H636" s="118">
        <v>24.9</v>
      </c>
      <c r="I636" s="118">
        <v>131</v>
      </c>
      <c r="J636" s="139">
        <v>0</v>
      </c>
      <c r="K636" s="153" t="s">
        <v>73</v>
      </c>
      <c r="L636" s="114">
        <v>35</v>
      </c>
      <c r="M636" s="72">
        <f>SUM(L636*D636)/1000</f>
        <v>1.4</v>
      </c>
    </row>
    <row r="637" spans="1:13" x14ac:dyDescent="0.25">
      <c r="A637" s="783"/>
      <c r="B637" s="124" t="s">
        <v>74</v>
      </c>
      <c r="C637" s="124"/>
      <c r="D637" s="63"/>
      <c r="E637" s="63"/>
      <c r="F637" s="265">
        <f>F621+F162+F166+F635+F636</f>
        <v>33.311800000000005</v>
      </c>
      <c r="G637" s="265">
        <f>G621+G162+G166+G635+G636</f>
        <v>25.2029</v>
      </c>
      <c r="H637" s="265">
        <f>H621+H162+H166+H635+H636</f>
        <v>113.08150000000001</v>
      </c>
      <c r="I637" s="265">
        <f>I621+I162+I166+I635+I636</f>
        <v>815.09899999999993</v>
      </c>
      <c r="J637" s="143">
        <f>J621+J162+J166+J635+J636</f>
        <v>16.593</v>
      </c>
      <c r="K637" s="234"/>
      <c r="L637" s="235"/>
      <c r="M637" s="36"/>
    </row>
    <row r="638" spans="1:13" x14ac:dyDescent="0.25">
      <c r="A638" s="5" t="s">
        <v>136</v>
      </c>
      <c r="B638" s="13"/>
      <c r="C638" s="4"/>
      <c r="D638" s="105"/>
      <c r="E638" s="106"/>
      <c r="F638" s="625"/>
      <c r="G638" s="51"/>
      <c r="H638" s="51"/>
      <c r="I638" s="51"/>
      <c r="J638" s="53"/>
      <c r="K638" s="126"/>
      <c r="L638" s="65"/>
      <c r="M638" s="64"/>
    </row>
    <row r="639" spans="1:13" ht="21.75" customHeight="1" x14ac:dyDescent="0.25">
      <c r="A639" s="781"/>
      <c r="B639" s="410" t="s">
        <v>294</v>
      </c>
      <c r="C639" s="339">
        <v>100</v>
      </c>
      <c r="D639" s="340"/>
      <c r="E639" s="340"/>
      <c r="F639" s="666">
        <f>F640+F641+F642+F643+F644</f>
        <v>14.882899999999999</v>
      </c>
      <c r="G639" s="666">
        <f>G640+G641+G642+G643+G644</f>
        <v>7.7965</v>
      </c>
      <c r="H639" s="666">
        <f>H640+H641+H642+H643+H644</f>
        <v>29.130000000000003</v>
      </c>
      <c r="I639" s="666">
        <f>I640+I641+I642+I643+I644</f>
        <v>242.62300000000005</v>
      </c>
      <c r="J639" s="666">
        <f>J640+J641+J642+J643+J644</f>
        <v>0.39</v>
      </c>
      <c r="K639" s="489" t="s">
        <v>295</v>
      </c>
      <c r="L639" s="65"/>
      <c r="M639" s="64"/>
    </row>
    <row r="640" spans="1:13" x14ac:dyDescent="0.25">
      <c r="A640" s="782"/>
      <c r="B640" s="404" t="s">
        <v>296</v>
      </c>
      <c r="C640" s="354"/>
      <c r="D640" s="340">
        <v>80</v>
      </c>
      <c r="E640" s="340">
        <v>78</v>
      </c>
      <c r="F640" s="340">
        <f>16.7*E640/100</f>
        <v>13.026</v>
      </c>
      <c r="G640" s="340">
        <f>9*E640/100</f>
        <v>7.02</v>
      </c>
      <c r="H640" s="340">
        <f>2*E640/100</f>
        <v>1.56</v>
      </c>
      <c r="I640" s="345">
        <f>155.3*E640/100</f>
        <v>121.13400000000001</v>
      </c>
      <c r="J640" s="346">
        <f>0.5*E640/100</f>
        <v>0.39</v>
      </c>
      <c r="K640" s="480"/>
      <c r="L640" s="185">
        <v>209.73</v>
      </c>
      <c r="M640" s="68">
        <f>SUM(L640*D640)/1000</f>
        <v>16.778399999999998</v>
      </c>
    </row>
    <row r="641" spans="1:13" x14ac:dyDescent="0.25">
      <c r="A641" s="782"/>
      <c r="B641" s="404" t="s">
        <v>247</v>
      </c>
      <c r="C641" s="354"/>
      <c r="D641" s="340">
        <v>11</v>
      </c>
      <c r="E641" s="340">
        <v>11</v>
      </c>
      <c r="F641" s="340">
        <f>10.3*E641/100</f>
        <v>1.133</v>
      </c>
      <c r="G641" s="340">
        <f>1.1*E641/100</f>
        <v>0.12100000000000001</v>
      </c>
      <c r="H641" s="340">
        <f>69*E641/100</f>
        <v>7.59</v>
      </c>
      <c r="I641" s="345">
        <f>334*E641/100</f>
        <v>36.74</v>
      </c>
      <c r="J641" s="346">
        <v>0</v>
      </c>
      <c r="K641" s="480"/>
      <c r="L641" s="185">
        <v>32.659999999999997</v>
      </c>
      <c r="M641" s="68">
        <f>SUM(L641*D641)/1000</f>
        <v>0.35925999999999997</v>
      </c>
    </row>
    <row r="642" spans="1:13" x14ac:dyDescent="0.25">
      <c r="A642" s="782"/>
      <c r="B642" s="404" t="s">
        <v>297</v>
      </c>
      <c r="C642" s="354"/>
      <c r="D642" s="340">
        <v>5.7</v>
      </c>
      <c r="E642" s="340">
        <v>5.7</v>
      </c>
      <c r="F642" s="340">
        <f>12.7*E642/100</f>
        <v>0.72389999999999999</v>
      </c>
      <c r="G642" s="340">
        <f>11.5*E642/100</f>
        <v>0.65549999999999997</v>
      </c>
      <c r="H642" s="340">
        <v>0</v>
      </c>
      <c r="I642" s="345">
        <f>157*E642/100</f>
        <v>8.9489999999999998</v>
      </c>
      <c r="J642" s="346">
        <v>0</v>
      </c>
      <c r="K642" s="480"/>
      <c r="L642" s="185">
        <v>50.7</v>
      </c>
      <c r="M642" s="68">
        <f>SUM(L642*D642)/1000</f>
        <v>0.28899000000000002</v>
      </c>
    </row>
    <row r="643" spans="1:13" x14ac:dyDescent="0.25">
      <c r="A643" s="782"/>
      <c r="B643" s="404" t="s">
        <v>230</v>
      </c>
      <c r="C643" s="354"/>
      <c r="D643" s="340">
        <v>5.7</v>
      </c>
      <c r="E643" s="340">
        <v>5.7</v>
      </c>
      <c r="F643" s="340">
        <v>0</v>
      </c>
      <c r="G643" s="340">
        <v>0</v>
      </c>
      <c r="H643" s="340">
        <v>19.98</v>
      </c>
      <c r="I643" s="345">
        <v>75.8</v>
      </c>
      <c r="J643" s="346">
        <v>0</v>
      </c>
      <c r="K643" s="480"/>
      <c r="L643" s="185">
        <v>4.6989999999999998</v>
      </c>
      <c r="M643" s="68">
        <f>SUM(L643*D643)/40</f>
        <v>0.66960749999999991</v>
      </c>
    </row>
    <row r="644" spans="1:13" x14ac:dyDescent="0.25">
      <c r="A644" s="782"/>
      <c r="B644" s="770" t="s">
        <v>231</v>
      </c>
      <c r="C644" s="501"/>
      <c r="D644" s="386">
        <v>0.76</v>
      </c>
      <c r="E644" s="386">
        <v>0.76</v>
      </c>
      <c r="F644" s="386">
        <v>0</v>
      </c>
      <c r="G644" s="386">
        <v>0</v>
      </c>
      <c r="H644" s="386">
        <v>0</v>
      </c>
      <c r="I644" s="447">
        <v>0</v>
      </c>
      <c r="J644" s="448">
        <v>0</v>
      </c>
      <c r="K644" s="693"/>
      <c r="L644" s="185">
        <v>376.98</v>
      </c>
      <c r="M644" s="68">
        <f t="shared" ref="M644:M650" si="22">SUM(L644*D644)/1000</f>
        <v>0.2865048</v>
      </c>
    </row>
    <row r="645" spans="1:13" x14ac:dyDescent="0.25">
      <c r="A645" s="782"/>
      <c r="B645" s="420"/>
      <c r="C645" s="365"/>
      <c r="D645" s="366"/>
      <c r="E645" s="366"/>
      <c r="F645" s="370">
        <f>SUM(F640:F644)</f>
        <v>14.882899999999999</v>
      </c>
      <c r="G645" s="370">
        <f>SUM(G640:G644)</f>
        <v>7.7965</v>
      </c>
      <c r="H645" s="370">
        <f>SUM(H640:H644)</f>
        <v>29.130000000000003</v>
      </c>
      <c r="I645" s="370">
        <f>SUM(I640:I644)</f>
        <v>242.62300000000005</v>
      </c>
      <c r="J645" s="370">
        <f>SUM(J640:J644)</f>
        <v>0.39</v>
      </c>
      <c r="K645" s="422"/>
      <c r="L645" s="185"/>
      <c r="M645" s="68"/>
    </row>
    <row r="646" spans="1:13" x14ac:dyDescent="0.25">
      <c r="A646" s="782"/>
      <c r="B646" s="379" t="s">
        <v>221</v>
      </c>
      <c r="C646" s="390">
        <v>25</v>
      </c>
      <c r="D646" s="391"/>
      <c r="E646" s="391"/>
      <c r="F646" s="653"/>
      <c r="G646" s="653"/>
      <c r="H646" s="653"/>
      <c r="I646" s="653"/>
      <c r="J646" s="653"/>
      <c r="K646" s="485" t="s">
        <v>298</v>
      </c>
      <c r="L646" s="185">
        <v>2500</v>
      </c>
      <c r="M646" s="68">
        <f t="shared" si="22"/>
        <v>0</v>
      </c>
    </row>
    <row r="647" spans="1:13" x14ac:dyDescent="0.25">
      <c r="A647" s="782"/>
      <c r="B647" s="406" t="s">
        <v>228</v>
      </c>
      <c r="C647" s="354"/>
      <c r="D647" s="340">
        <v>12.5</v>
      </c>
      <c r="E647" s="340">
        <v>12.5</v>
      </c>
      <c r="F647" s="340">
        <f>2.8*E647/100</f>
        <v>0.35</v>
      </c>
      <c r="G647" s="340">
        <f>3.2*E647/100</f>
        <v>0.4</v>
      </c>
      <c r="H647" s="340">
        <f>4.7*E647/100</f>
        <v>0.58750000000000002</v>
      </c>
      <c r="I647" s="345">
        <f>58*E647/100</f>
        <v>7.25</v>
      </c>
      <c r="J647" s="346">
        <f>1.3*E647/100</f>
        <v>0.16250000000000001</v>
      </c>
      <c r="K647" s="483"/>
      <c r="L647" s="185">
        <v>60.5</v>
      </c>
      <c r="M647" s="68">
        <f t="shared" si="22"/>
        <v>0.75624999999999998</v>
      </c>
    </row>
    <row r="648" spans="1:13" x14ac:dyDescent="0.25">
      <c r="A648" s="782"/>
      <c r="B648" s="406" t="s">
        <v>288</v>
      </c>
      <c r="C648" s="354"/>
      <c r="D648" s="340">
        <v>1.1000000000000001</v>
      </c>
      <c r="E648" s="340">
        <v>1.1000000000000001</v>
      </c>
      <c r="F648" s="340">
        <f>0.8*E648/100</f>
        <v>8.8000000000000005E-3</v>
      </c>
      <c r="G648" s="340">
        <f>72.5*E648/100</f>
        <v>0.79749999999999999</v>
      </c>
      <c r="H648" s="340">
        <f>1.3*E648/100</f>
        <v>1.4300000000000002E-2</v>
      </c>
      <c r="I648" s="345">
        <f>661*E648/100</f>
        <v>7.2709999999999999</v>
      </c>
      <c r="J648" s="346">
        <v>0</v>
      </c>
      <c r="K648" s="483"/>
      <c r="L648" s="185">
        <v>153</v>
      </c>
      <c r="M648" s="68">
        <f t="shared" si="22"/>
        <v>0.16830000000000001</v>
      </c>
    </row>
    <row r="649" spans="1:13" x14ac:dyDescent="0.25">
      <c r="A649" s="782"/>
      <c r="B649" s="406" t="s">
        <v>291</v>
      </c>
      <c r="C649" s="354"/>
      <c r="D649" s="340">
        <v>1.1000000000000001</v>
      </c>
      <c r="E649" s="340">
        <v>1.1000000000000001</v>
      </c>
      <c r="F649" s="340">
        <f>10.3*E649/100</f>
        <v>0.11330000000000001</v>
      </c>
      <c r="G649" s="340">
        <f>1.1*E649/100</f>
        <v>1.2100000000000001E-2</v>
      </c>
      <c r="H649" s="340">
        <f>69*E649/100</f>
        <v>0.75900000000000001</v>
      </c>
      <c r="I649" s="345">
        <f>334*E649/100</f>
        <v>3.6740000000000004</v>
      </c>
      <c r="J649" s="346">
        <v>0</v>
      </c>
      <c r="K649" s="483"/>
      <c r="L649" s="185">
        <v>16.62</v>
      </c>
      <c r="M649" s="68">
        <f t="shared" si="22"/>
        <v>1.8282000000000003E-2</v>
      </c>
    </row>
    <row r="650" spans="1:13" x14ac:dyDescent="0.25">
      <c r="A650" s="782"/>
      <c r="B650" s="406" t="s">
        <v>229</v>
      </c>
      <c r="C650" s="354"/>
      <c r="D650" s="340">
        <v>12.5</v>
      </c>
      <c r="E650" s="340">
        <v>12.5</v>
      </c>
      <c r="F650" s="340">
        <v>0</v>
      </c>
      <c r="G650" s="340">
        <v>0</v>
      </c>
      <c r="H650" s="340">
        <v>0</v>
      </c>
      <c r="I650" s="345">
        <v>0</v>
      </c>
      <c r="J650" s="346">
        <v>0</v>
      </c>
      <c r="K650" s="483"/>
      <c r="L650" s="185"/>
      <c r="M650" s="68">
        <f t="shared" si="22"/>
        <v>0</v>
      </c>
    </row>
    <row r="651" spans="1:13" x14ac:dyDescent="0.25">
      <c r="A651" s="782"/>
      <c r="B651" s="406" t="s">
        <v>299</v>
      </c>
      <c r="C651" s="354"/>
      <c r="D651" s="340">
        <v>2</v>
      </c>
      <c r="E651" s="340">
        <v>2</v>
      </c>
      <c r="F651" s="340">
        <v>0</v>
      </c>
      <c r="G651" s="340">
        <v>0</v>
      </c>
      <c r="H651" s="340">
        <v>19.98</v>
      </c>
      <c r="I651" s="345">
        <v>75.8</v>
      </c>
      <c r="J651" s="346">
        <v>0</v>
      </c>
      <c r="K651" s="483"/>
      <c r="L651" s="185">
        <v>76.989999999999995</v>
      </c>
      <c r="M651" s="68">
        <f>SUM(L651*D651)/400</f>
        <v>0.38494999999999996</v>
      </c>
    </row>
    <row r="652" spans="1:13" x14ac:dyDescent="0.25">
      <c r="A652" s="782"/>
      <c r="B652" s="406" t="s">
        <v>300</v>
      </c>
      <c r="C652" s="354"/>
      <c r="D652" s="340">
        <v>1E-3</v>
      </c>
      <c r="E652" s="340">
        <v>1E-3</v>
      </c>
      <c r="F652" s="340">
        <v>0</v>
      </c>
      <c r="G652" s="340">
        <v>0</v>
      </c>
      <c r="H652" s="340">
        <v>0</v>
      </c>
      <c r="I652" s="345">
        <v>0</v>
      </c>
      <c r="J652" s="346">
        <v>0</v>
      </c>
      <c r="K652" s="483"/>
      <c r="L652" s="65"/>
      <c r="M652" s="72">
        <f>SUM(M640:M651)</f>
        <v>19.710544299999995</v>
      </c>
    </row>
    <row r="653" spans="1:13" x14ac:dyDescent="0.25">
      <c r="A653" s="782"/>
      <c r="B653" s="406"/>
      <c r="C653" s="354"/>
      <c r="D653" s="340"/>
      <c r="E653" s="340"/>
      <c r="F653" s="401">
        <f>SUM(F647:F652)</f>
        <v>0.47209999999999996</v>
      </c>
      <c r="G653" s="401">
        <f>SUM(G647:G652)</f>
        <v>1.2096</v>
      </c>
      <c r="H653" s="401">
        <f>SUM(H647:H652)</f>
        <v>21.340800000000002</v>
      </c>
      <c r="I653" s="429">
        <f>SUM(I647:I652)</f>
        <v>93.995000000000005</v>
      </c>
      <c r="J653" s="668">
        <f>SUM(J647:J652)</f>
        <v>0.16250000000000001</v>
      </c>
      <c r="K653" s="483"/>
      <c r="L653" s="65"/>
      <c r="M653" s="72"/>
    </row>
    <row r="654" spans="1:13" x14ac:dyDescent="0.25">
      <c r="A654" s="782"/>
      <c r="B654" s="350" t="s">
        <v>232</v>
      </c>
      <c r="C654" s="339">
        <v>100</v>
      </c>
      <c r="D654" s="352">
        <v>105</v>
      </c>
      <c r="E654" s="352">
        <v>105</v>
      </c>
      <c r="F654" s="417">
        <f>2.8*E654/100</f>
        <v>2.94</v>
      </c>
      <c r="G654" s="417">
        <f>3.2*E654/100</f>
        <v>3.36</v>
      </c>
      <c r="H654" s="417">
        <f>4.7*E654/100</f>
        <v>4.9349999999999996</v>
      </c>
      <c r="I654" s="418">
        <f>58*E654/100</f>
        <v>60.9</v>
      </c>
      <c r="J654" s="419">
        <f>1.3*E654/100</f>
        <v>1.365</v>
      </c>
      <c r="K654" s="162" t="s">
        <v>207</v>
      </c>
      <c r="L654" s="65"/>
      <c r="M654" s="64"/>
    </row>
    <row r="655" spans="1:13" x14ac:dyDescent="0.25">
      <c r="A655" s="5"/>
      <c r="B655" s="124" t="s">
        <v>50</v>
      </c>
      <c r="C655" s="124"/>
      <c r="D655" s="13"/>
      <c r="E655" s="13"/>
      <c r="F655" s="282">
        <f>F645+F653+F654</f>
        <v>18.294999999999998</v>
      </c>
      <c r="G655" s="282">
        <f>G645+G653+G654</f>
        <v>12.366099999999999</v>
      </c>
      <c r="H655" s="282">
        <f>H645+H653+H654</f>
        <v>55.405800000000006</v>
      </c>
      <c r="I655" s="282">
        <f>I645+I653+I654</f>
        <v>397.51800000000003</v>
      </c>
      <c r="J655" s="283">
        <f>J645+J653+J654</f>
        <v>1.9175</v>
      </c>
      <c r="K655" s="251"/>
      <c r="L655" s="235"/>
      <c r="M655" s="36"/>
    </row>
    <row r="656" spans="1:13" ht="25.5" x14ac:dyDescent="0.25">
      <c r="A656" s="535" t="s">
        <v>148</v>
      </c>
      <c r="B656" s="146"/>
      <c r="C656" s="22"/>
      <c r="D656" s="23"/>
      <c r="E656" s="23"/>
      <c r="F656" s="275">
        <f>F655+F637+F611</f>
        <v>62.735900000000008</v>
      </c>
      <c r="G656" s="275">
        <f>G655+G637+G611</f>
        <v>47.368400000000001</v>
      </c>
      <c r="H656" s="275">
        <f>H655+H637+H611</f>
        <v>252.97720000000001</v>
      </c>
      <c r="I656" s="275">
        <f>I655+I637+I611</f>
        <v>1677.1790000000001</v>
      </c>
      <c r="J656" s="326">
        <f>J655+J637+J611</f>
        <v>21.048100000000002</v>
      </c>
      <c r="K656" s="30"/>
      <c r="L656" s="32"/>
      <c r="M656" s="33"/>
    </row>
    <row r="657" spans="1:13" x14ac:dyDescent="0.25">
      <c r="A657" s="13" t="s">
        <v>149</v>
      </c>
      <c r="B657" s="13"/>
      <c r="C657" s="13"/>
      <c r="D657" s="51"/>
      <c r="E657" s="51"/>
      <c r="F657" s="242"/>
      <c r="G657" s="242"/>
      <c r="H657" s="242"/>
      <c r="I657" s="242"/>
      <c r="J657" s="243"/>
      <c r="K657" s="244"/>
      <c r="L657" s="65"/>
      <c r="M657" s="64"/>
    </row>
    <row r="658" spans="1:13" x14ac:dyDescent="0.25">
      <c r="A658" s="5" t="s">
        <v>140</v>
      </c>
      <c r="B658" s="13"/>
      <c r="C658" s="4"/>
      <c r="D658" s="105"/>
      <c r="E658" s="106"/>
      <c r="F658" s="51"/>
      <c r="G658" s="51"/>
      <c r="H658" s="51"/>
      <c r="I658" s="51"/>
      <c r="J658" s="53"/>
      <c r="K658" s="174"/>
      <c r="L658" s="65"/>
      <c r="M658" s="64"/>
    </row>
    <row r="659" spans="1:13" x14ac:dyDescent="0.25">
      <c r="A659" s="649"/>
      <c r="B659" s="793" t="s">
        <v>103</v>
      </c>
      <c r="C659" s="124"/>
      <c r="D659" s="13"/>
      <c r="E659" s="13"/>
      <c r="F659" s="63"/>
      <c r="G659" s="63"/>
      <c r="H659" s="63"/>
      <c r="I659" s="63"/>
      <c r="J659" s="96"/>
      <c r="K659" s="125"/>
      <c r="L659" s="112"/>
      <c r="M659" s="108"/>
    </row>
    <row r="660" spans="1:13" x14ac:dyDescent="0.25">
      <c r="A660" s="650"/>
      <c r="B660" s="794"/>
      <c r="C660" s="140">
        <v>180</v>
      </c>
      <c r="D660" s="154"/>
      <c r="E660" s="154"/>
      <c r="F660" s="63"/>
      <c r="G660" s="63"/>
      <c r="H660" s="63"/>
      <c r="I660" s="63"/>
      <c r="J660" s="96"/>
      <c r="K660" s="155" t="s">
        <v>104</v>
      </c>
      <c r="L660" s="112">
        <v>65.069999999999993</v>
      </c>
      <c r="M660" s="108">
        <f>SUM(L660*D660)/1000</f>
        <v>0</v>
      </c>
    </row>
    <row r="661" spans="1:13" x14ac:dyDescent="0.25">
      <c r="A661" s="650"/>
      <c r="B661" s="107" t="s">
        <v>105</v>
      </c>
      <c r="C661" s="96"/>
      <c r="D661" s="63">
        <v>34.299999999999997</v>
      </c>
      <c r="E661" s="63">
        <v>34.299999999999997</v>
      </c>
      <c r="F661" s="59">
        <v>4.1399999999999997</v>
      </c>
      <c r="G661" s="51">
        <v>1.198</v>
      </c>
      <c r="H661" s="51">
        <v>23.94</v>
      </c>
      <c r="I661" s="51">
        <v>125.28</v>
      </c>
      <c r="J661" s="53">
        <v>0</v>
      </c>
      <c r="K661" s="174"/>
      <c r="L661" s="112">
        <v>376.98</v>
      </c>
      <c r="M661" s="108">
        <f>SUM(L661*D661)/1000</f>
        <v>12.930413999999999</v>
      </c>
    </row>
    <row r="662" spans="1:13" x14ac:dyDescent="0.25">
      <c r="A662" s="650"/>
      <c r="B662" s="107" t="s">
        <v>19</v>
      </c>
      <c r="C662" s="96"/>
      <c r="D662" s="63">
        <v>60</v>
      </c>
      <c r="E662" s="63">
        <v>60</v>
      </c>
      <c r="F662" s="59">
        <v>0</v>
      </c>
      <c r="G662" s="51">
        <v>0</v>
      </c>
      <c r="H662" s="51">
        <v>0</v>
      </c>
      <c r="I662" s="51">
        <v>0</v>
      </c>
      <c r="J662" s="53">
        <v>0</v>
      </c>
      <c r="K662" s="174"/>
      <c r="L662" s="112"/>
      <c r="M662" s="108"/>
    </row>
    <row r="663" spans="1:13" x14ac:dyDescent="0.25">
      <c r="A663" s="650"/>
      <c r="B663" s="107" t="s">
        <v>44</v>
      </c>
      <c r="C663" s="96"/>
      <c r="D663" s="63">
        <v>85.7</v>
      </c>
      <c r="E663" s="63">
        <v>85.7</v>
      </c>
      <c r="F663" s="59">
        <v>2.52</v>
      </c>
      <c r="G663" s="51">
        <v>2.88</v>
      </c>
      <c r="H663" s="51">
        <v>4.2300000000000004</v>
      </c>
      <c r="I663" s="51">
        <v>52.5</v>
      </c>
      <c r="J663" s="53">
        <v>1.17</v>
      </c>
      <c r="K663" s="174"/>
      <c r="L663" s="112"/>
      <c r="M663" s="108"/>
    </row>
    <row r="664" spans="1:13" x14ac:dyDescent="0.25">
      <c r="A664" s="650"/>
      <c r="B664" s="107" t="s">
        <v>49</v>
      </c>
      <c r="C664" s="96"/>
      <c r="D664" s="63">
        <v>5</v>
      </c>
      <c r="E664" s="63">
        <v>5</v>
      </c>
      <c r="F664" s="59">
        <v>0</v>
      </c>
      <c r="G664" s="51">
        <v>0</v>
      </c>
      <c r="H664" s="51">
        <v>5.3890000000000002</v>
      </c>
      <c r="I664" s="51">
        <v>20.466000000000001</v>
      </c>
      <c r="J664" s="53">
        <v>0</v>
      </c>
      <c r="K664" s="126"/>
      <c r="L664" s="112"/>
      <c r="M664" s="108"/>
    </row>
    <row r="665" spans="1:13" x14ac:dyDescent="0.25">
      <c r="A665" s="650"/>
      <c r="B665" s="96" t="s">
        <v>112</v>
      </c>
      <c r="C665" s="96"/>
      <c r="D665" s="63">
        <v>0.5</v>
      </c>
      <c r="E665" s="63">
        <v>0.5</v>
      </c>
      <c r="F665" s="59">
        <v>0</v>
      </c>
      <c r="G665" s="59">
        <v>0</v>
      </c>
      <c r="H665" s="59">
        <v>0</v>
      </c>
      <c r="I665" s="59">
        <v>0</v>
      </c>
      <c r="J665" s="191">
        <v>0</v>
      </c>
      <c r="K665" s="126"/>
      <c r="L665" s="112"/>
      <c r="M665" s="108"/>
    </row>
    <row r="666" spans="1:13" ht="15" customHeight="1" x14ac:dyDescent="0.25">
      <c r="A666" s="650"/>
      <c r="B666" s="107" t="s">
        <v>49</v>
      </c>
      <c r="C666" s="96"/>
      <c r="D666" s="63">
        <v>8.5</v>
      </c>
      <c r="E666" s="63">
        <v>8.5</v>
      </c>
      <c r="F666" s="59">
        <v>0</v>
      </c>
      <c r="G666" s="51">
        <v>0</v>
      </c>
      <c r="H666" s="51">
        <v>5.3890000000000002</v>
      </c>
      <c r="I666" s="51">
        <v>20.466000000000001</v>
      </c>
      <c r="J666" s="53">
        <v>0</v>
      </c>
      <c r="K666" s="126"/>
      <c r="L666" s="112"/>
      <c r="M666" s="108"/>
    </row>
    <row r="667" spans="1:13" x14ac:dyDescent="0.25">
      <c r="A667" s="650"/>
      <c r="B667" s="96" t="s">
        <v>310</v>
      </c>
      <c r="C667" s="96"/>
      <c r="D667" s="63">
        <v>171.5</v>
      </c>
      <c r="E667" s="63">
        <v>171.5</v>
      </c>
      <c r="F667" s="59">
        <v>0</v>
      </c>
      <c r="G667" s="59">
        <v>0</v>
      </c>
      <c r="H667" s="59">
        <v>0</v>
      </c>
      <c r="I667" s="59">
        <v>0</v>
      </c>
      <c r="J667" s="191">
        <v>0</v>
      </c>
      <c r="K667" s="126"/>
      <c r="L667" s="112"/>
      <c r="M667" s="108"/>
    </row>
    <row r="668" spans="1:13" x14ac:dyDescent="0.25">
      <c r="A668" s="650"/>
      <c r="B668" s="96" t="s">
        <v>330</v>
      </c>
      <c r="C668" s="101"/>
      <c r="D668" s="100">
        <v>180</v>
      </c>
      <c r="E668" s="100"/>
      <c r="F668" s="192">
        <f>SUM(F661:F667)</f>
        <v>6.66</v>
      </c>
      <c r="G668" s="192">
        <f>SUM(G661:G667)</f>
        <v>4.0779999999999994</v>
      </c>
      <c r="H668" s="192">
        <f>SUM(H661:H667)</f>
        <v>38.948000000000008</v>
      </c>
      <c r="I668" s="192">
        <f>SUM(I661:I667)</f>
        <v>218.71200000000002</v>
      </c>
      <c r="J668" s="695">
        <f>SUM(J661:J667)</f>
        <v>1.17</v>
      </c>
      <c r="K668" s="126"/>
      <c r="L668" s="112"/>
      <c r="M668" s="108"/>
    </row>
    <row r="669" spans="1:13" x14ac:dyDescent="0.25">
      <c r="A669" s="650"/>
      <c r="B669" s="442" t="s">
        <v>23</v>
      </c>
      <c r="C669" s="105">
        <v>40</v>
      </c>
      <c r="D669" s="13"/>
      <c r="E669" s="123"/>
      <c r="F669" s="110"/>
      <c r="G669" s="110"/>
      <c r="H669" s="110"/>
      <c r="I669" s="110"/>
      <c r="J669" s="97"/>
      <c r="K669" s="112" t="s">
        <v>24</v>
      </c>
      <c r="L669" s="185"/>
      <c r="M669" s="68"/>
    </row>
    <row r="670" spans="1:13" x14ac:dyDescent="0.25">
      <c r="A670" s="650"/>
      <c r="B670" s="173" t="s">
        <v>21</v>
      </c>
      <c r="C670" s="194"/>
      <c r="D670" s="63">
        <v>10</v>
      </c>
      <c r="E670" s="63">
        <v>10</v>
      </c>
      <c r="F670" s="63">
        <v>0.08</v>
      </c>
      <c r="G670" s="63">
        <v>7.25</v>
      </c>
      <c r="H670" s="63">
        <v>0.13</v>
      </c>
      <c r="I670" s="63">
        <v>66.099999999999994</v>
      </c>
      <c r="J670" s="231">
        <v>0</v>
      </c>
      <c r="K670" s="112"/>
      <c r="L670" s="185">
        <v>50</v>
      </c>
      <c r="M670" s="68">
        <f>SUM(L670*D670)/1000</f>
        <v>0.5</v>
      </c>
    </row>
    <row r="671" spans="1:13" x14ac:dyDescent="0.25">
      <c r="A671" s="572"/>
      <c r="B671" s="107" t="s">
        <v>106</v>
      </c>
      <c r="C671" s="194"/>
      <c r="D671" s="63">
        <v>30</v>
      </c>
      <c r="E671" s="63">
        <v>30</v>
      </c>
      <c r="F671" s="63">
        <v>2.31</v>
      </c>
      <c r="G671" s="63">
        <v>0.9</v>
      </c>
      <c r="H671" s="63">
        <v>14.94</v>
      </c>
      <c r="I671" s="63">
        <v>78.599999999999994</v>
      </c>
      <c r="J671" s="231">
        <v>0</v>
      </c>
      <c r="K671" s="112"/>
      <c r="L671" s="185">
        <v>110</v>
      </c>
      <c r="M671" s="68">
        <f>SUM(L671*D671)/1000</f>
        <v>3.3</v>
      </c>
    </row>
    <row r="672" spans="1:13" x14ac:dyDescent="0.25">
      <c r="A672" s="572"/>
      <c r="B672" s="107"/>
      <c r="C672" s="107"/>
      <c r="D672" s="63"/>
      <c r="E672" s="63"/>
      <c r="F672" s="118">
        <f>SUM(F670:F671)</f>
        <v>2.39</v>
      </c>
      <c r="G672" s="118">
        <f t="shared" ref="G672:J672" si="23">SUM(G670:G671)</f>
        <v>8.15</v>
      </c>
      <c r="H672" s="118">
        <f t="shared" si="23"/>
        <v>15.07</v>
      </c>
      <c r="I672" s="118">
        <f t="shared" si="23"/>
        <v>144.69999999999999</v>
      </c>
      <c r="J672" s="118">
        <f t="shared" si="23"/>
        <v>0</v>
      </c>
      <c r="K672" s="153"/>
      <c r="L672" s="185"/>
      <c r="M672" s="72">
        <f>SUM(M670:M671)</f>
        <v>3.8</v>
      </c>
    </row>
    <row r="673" spans="1:13" x14ac:dyDescent="0.25">
      <c r="A673" s="572"/>
      <c r="B673" s="647" t="s">
        <v>384</v>
      </c>
      <c r="C673" s="105" t="s">
        <v>187</v>
      </c>
      <c r="D673" s="13"/>
      <c r="E673" s="13"/>
      <c r="F673" s="13"/>
      <c r="G673" s="13"/>
      <c r="H673" s="13"/>
      <c r="I673" s="13"/>
      <c r="J673" s="96"/>
      <c r="K673" s="125" t="s">
        <v>188</v>
      </c>
      <c r="L673" s="65"/>
      <c r="M673" s="68"/>
    </row>
    <row r="674" spans="1:13" x14ac:dyDescent="0.25">
      <c r="A674" s="572"/>
      <c r="B674" s="647" t="s">
        <v>184</v>
      </c>
      <c r="C674" s="124"/>
      <c r="D674" s="13">
        <v>30</v>
      </c>
      <c r="E674" s="13">
        <v>30</v>
      </c>
      <c r="F674" s="13"/>
      <c r="G674" s="13"/>
      <c r="H674" s="13"/>
      <c r="I674" s="13"/>
      <c r="J674" s="96"/>
      <c r="K674" s="125"/>
      <c r="L674" s="88"/>
      <c r="M674" s="68"/>
    </row>
    <row r="675" spans="1:13" x14ac:dyDescent="0.25">
      <c r="A675" s="572"/>
      <c r="B675" s="107" t="s">
        <v>141</v>
      </c>
      <c r="C675" s="124"/>
      <c r="D675" s="63">
        <v>92</v>
      </c>
      <c r="E675" s="63">
        <v>92</v>
      </c>
      <c r="F675" s="63">
        <v>0</v>
      </c>
      <c r="G675" s="63">
        <v>2.34</v>
      </c>
      <c r="H675" s="63">
        <v>14.31</v>
      </c>
      <c r="I675" s="63">
        <v>8.9</v>
      </c>
      <c r="J675" s="96">
        <v>1.2</v>
      </c>
      <c r="K675" s="125"/>
      <c r="L675" s="88"/>
      <c r="M675" s="68"/>
    </row>
    <row r="676" spans="1:13" x14ac:dyDescent="0.25">
      <c r="A676" s="572"/>
      <c r="B676" s="107" t="s">
        <v>185</v>
      </c>
      <c r="C676" s="107"/>
      <c r="D676" s="63">
        <v>0.3</v>
      </c>
      <c r="E676" s="63">
        <v>0.3</v>
      </c>
      <c r="F676" s="63">
        <v>2.67</v>
      </c>
      <c r="G676" s="63">
        <v>0</v>
      </c>
      <c r="H676" s="63">
        <v>2.07E-2</v>
      </c>
      <c r="I676" s="63">
        <v>0.45540000000000003</v>
      </c>
      <c r="J676" s="96">
        <v>0.03</v>
      </c>
      <c r="K676" s="126"/>
      <c r="L676" s="114">
        <v>400</v>
      </c>
      <c r="M676" s="68">
        <f>SUM(L676*D676)/1000</f>
        <v>0.12</v>
      </c>
    </row>
    <row r="677" spans="1:13" x14ac:dyDescent="0.25">
      <c r="A677" s="572"/>
      <c r="B677" s="107" t="s">
        <v>49</v>
      </c>
      <c r="C677" s="107"/>
      <c r="D677" s="63">
        <v>10</v>
      </c>
      <c r="E677" s="63">
        <v>10</v>
      </c>
      <c r="F677" s="63">
        <v>0</v>
      </c>
      <c r="G677" s="63">
        <v>0</v>
      </c>
      <c r="H677" s="63">
        <v>9.98</v>
      </c>
      <c r="I677" s="63">
        <v>37.9</v>
      </c>
      <c r="J677" s="96">
        <v>0</v>
      </c>
      <c r="K677" s="126"/>
      <c r="L677" s="114">
        <v>50.7</v>
      </c>
      <c r="M677" s="68">
        <f>SUM(L677*D677)/1000</f>
        <v>0.50700000000000001</v>
      </c>
    </row>
    <row r="678" spans="1:13" x14ac:dyDescent="0.25">
      <c r="A678" s="572"/>
      <c r="B678" s="107" t="s">
        <v>19</v>
      </c>
      <c r="C678" s="107"/>
      <c r="D678" s="63">
        <v>60</v>
      </c>
      <c r="E678" s="63">
        <v>60</v>
      </c>
      <c r="F678" s="63">
        <v>0</v>
      </c>
      <c r="G678" s="63">
        <v>0</v>
      </c>
      <c r="H678" s="63">
        <v>0</v>
      </c>
      <c r="I678" s="63">
        <v>0</v>
      </c>
      <c r="J678" s="96">
        <v>0</v>
      </c>
      <c r="K678" s="126"/>
      <c r="L678" s="114">
        <v>0</v>
      </c>
      <c r="M678" s="68">
        <f>SUM(L678*D678)/1000</f>
        <v>0</v>
      </c>
    </row>
    <row r="679" spans="1:13" x14ac:dyDescent="0.25">
      <c r="A679" s="572"/>
      <c r="B679" s="107"/>
      <c r="C679" s="107"/>
      <c r="D679" s="63"/>
      <c r="E679" s="63"/>
      <c r="F679" s="274">
        <f>SUM(F674:F678)</f>
        <v>2.67</v>
      </c>
      <c r="G679" s="274">
        <f>SUM(G674:G678)</f>
        <v>2.34</v>
      </c>
      <c r="H679" s="274">
        <f>SUM(H674:H678)</f>
        <v>24.310700000000001</v>
      </c>
      <c r="I679" s="274">
        <f>SUM(I674:I678)</f>
        <v>47.255399999999995</v>
      </c>
      <c r="J679" s="274">
        <f>SUM(J674:J678)</f>
        <v>1.23</v>
      </c>
      <c r="K679" s="153"/>
      <c r="L679" s="185"/>
      <c r="M679" s="72">
        <f>SUM(M674:M678)</f>
        <v>0.627</v>
      </c>
    </row>
    <row r="680" spans="1:13" x14ac:dyDescent="0.25">
      <c r="A680" s="572"/>
      <c r="B680" s="384" t="s">
        <v>267</v>
      </c>
      <c r="C680" s="390">
        <v>180</v>
      </c>
      <c r="D680" s="391"/>
      <c r="E680" s="340"/>
      <c r="F680" s="616"/>
      <c r="G680" s="616"/>
      <c r="H680" s="616"/>
      <c r="I680" s="617"/>
      <c r="J680" s="618"/>
      <c r="K680" s="485" t="s">
        <v>268</v>
      </c>
      <c r="L680" s="79">
        <v>60.94</v>
      </c>
      <c r="M680" s="315">
        <f>SUM(D680*L680)/1000</f>
        <v>0</v>
      </c>
    </row>
    <row r="681" spans="1:13" x14ac:dyDescent="0.25">
      <c r="A681" s="572"/>
      <c r="B681" s="382" t="s">
        <v>269</v>
      </c>
      <c r="C681" s="343"/>
      <c r="D681" s="340">
        <v>18</v>
      </c>
      <c r="E681" s="340">
        <v>18</v>
      </c>
      <c r="F681" s="340">
        <v>0</v>
      </c>
      <c r="G681" s="340">
        <v>0</v>
      </c>
      <c r="H681" s="340">
        <v>0</v>
      </c>
      <c r="I681" s="345">
        <v>28.2</v>
      </c>
      <c r="J681" s="346">
        <v>0.04</v>
      </c>
      <c r="K681" s="480"/>
      <c r="L681" s="79"/>
      <c r="M681" s="315"/>
    </row>
    <row r="682" spans="1:13" x14ac:dyDescent="0.25">
      <c r="A682" s="572"/>
      <c r="B682" s="382" t="s">
        <v>230</v>
      </c>
      <c r="C682" s="343"/>
      <c r="D682" s="340">
        <v>10</v>
      </c>
      <c r="E682" s="340">
        <v>10</v>
      </c>
      <c r="F682" s="340">
        <v>0</v>
      </c>
      <c r="G682" s="340">
        <v>0</v>
      </c>
      <c r="H682" s="340">
        <v>19.98</v>
      </c>
      <c r="I682" s="345">
        <v>75.8</v>
      </c>
      <c r="J682" s="346">
        <v>0</v>
      </c>
      <c r="K682" s="480"/>
      <c r="L682" s="79"/>
      <c r="M682" s="315"/>
    </row>
    <row r="683" spans="1:13" x14ac:dyDescent="0.25">
      <c r="A683" s="572"/>
      <c r="B683" s="696" t="s">
        <v>229</v>
      </c>
      <c r="C683" s="445"/>
      <c r="D683" s="386">
        <v>180</v>
      </c>
      <c r="E683" s="386">
        <v>180</v>
      </c>
      <c r="F683" s="386">
        <v>0</v>
      </c>
      <c r="G683" s="386">
        <v>0</v>
      </c>
      <c r="H683" s="386">
        <v>0</v>
      </c>
      <c r="I683" s="447">
        <v>0</v>
      </c>
      <c r="J683" s="448">
        <v>0</v>
      </c>
      <c r="K683" s="480"/>
      <c r="L683" s="79"/>
      <c r="M683" s="315"/>
    </row>
    <row r="684" spans="1:13" x14ac:dyDescent="0.25">
      <c r="A684" s="572"/>
      <c r="B684" s="420"/>
      <c r="C684" s="421"/>
      <c r="D684" s="366"/>
      <c r="E684" s="366"/>
      <c r="F684" s="698">
        <f>SUM(F681:F683)</f>
        <v>0</v>
      </c>
      <c r="G684" s="698">
        <f>SUM(G681:G683)</f>
        <v>0</v>
      </c>
      <c r="H684" s="698">
        <f>SUM(H681:H683)</f>
        <v>19.98</v>
      </c>
      <c r="I684" s="698">
        <f>SUM(I681:I683)</f>
        <v>104</v>
      </c>
      <c r="J684" s="698">
        <f>SUM(J681:J683)</f>
        <v>0.04</v>
      </c>
      <c r="K684" s="692"/>
      <c r="L684" s="79"/>
      <c r="M684" s="315"/>
    </row>
    <row r="685" spans="1:13" x14ac:dyDescent="0.25">
      <c r="A685" s="573"/>
      <c r="B685" s="697" t="s">
        <v>57</v>
      </c>
      <c r="C685" s="150"/>
      <c r="D685" s="100"/>
      <c r="E685" s="100"/>
      <c r="F685" s="314">
        <f>F668+F672+F679+F684</f>
        <v>11.72</v>
      </c>
      <c r="G685" s="314">
        <f>G668+G672+G679+G684</f>
        <v>14.568</v>
      </c>
      <c r="H685" s="314">
        <f>H668+H672+H679+H684</f>
        <v>98.308700000000016</v>
      </c>
      <c r="I685" s="314">
        <f>I668+I672+I679+I684</f>
        <v>514.66740000000004</v>
      </c>
      <c r="J685" s="314">
        <f>J668+J672+J679+J684</f>
        <v>2.44</v>
      </c>
      <c r="K685" s="245"/>
      <c r="L685" s="246"/>
      <c r="M685" s="314">
        <f>SUM(M661,M671,M678,M679:M680)</f>
        <v>16.857413999999999</v>
      </c>
    </row>
    <row r="686" spans="1:13" x14ac:dyDescent="0.25">
      <c r="A686" s="5" t="s">
        <v>150</v>
      </c>
      <c r="B686" s="13"/>
      <c r="C686" s="4"/>
      <c r="D686" s="105"/>
      <c r="E686" s="106"/>
      <c r="F686" s="51"/>
      <c r="G686" s="51"/>
      <c r="H686" s="51"/>
      <c r="I686" s="51"/>
      <c r="J686" s="53"/>
      <c r="K686" s="126"/>
      <c r="L686" s="65"/>
      <c r="M686" s="64"/>
    </row>
    <row r="687" spans="1:13" ht="30" x14ac:dyDescent="0.25">
      <c r="A687" s="801"/>
      <c r="B687" s="648" t="s">
        <v>156</v>
      </c>
      <c r="C687" s="140">
        <v>200</v>
      </c>
      <c r="D687" s="154"/>
      <c r="E687" s="154"/>
      <c r="F687" s="63"/>
      <c r="G687" s="63"/>
      <c r="H687" s="63"/>
      <c r="I687" s="63"/>
      <c r="J687" s="96"/>
      <c r="K687" s="125" t="s">
        <v>157</v>
      </c>
      <c r="L687" s="65"/>
      <c r="M687" s="64"/>
    </row>
    <row r="688" spans="1:13" x14ac:dyDescent="0.25">
      <c r="A688" s="802"/>
      <c r="B688" s="96" t="s">
        <v>158</v>
      </c>
      <c r="C688" s="96"/>
      <c r="D688" s="63">
        <v>34</v>
      </c>
      <c r="E688" s="63">
        <v>27.3</v>
      </c>
      <c r="F688" s="102">
        <v>0.48</v>
      </c>
      <c r="G688" s="63">
        <v>3.2000000000000001E-2</v>
      </c>
      <c r="H688" s="63">
        <v>2.8159999999999998</v>
      </c>
      <c r="I688" s="63">
        <v>13.44</v>
      </c>
      <c r="J688" s="96">
        <v>3.2</v>
      </c>
      <c r="K688" s="126"/>
      <c r="L688" s="114">
        <v>25.38</v>
      </c>
      <c r="M688" s="68">
        <f t="shared" ref="M688:M699" si="24">SUM(L688*D688)/1000</f>
        <v>0.86291999999999991</v>
      </c>
    </row>
    <row r="689" spans="1:13" x14ac:dyDescent="0.25">
      <c r="A689" s="802"/>
      <c r="B689" s="96" t="s">
        <v>159</v>
      </c>
      <c r="C689" s="96"/>
      <c r="D689" s="63">
        <v>17.3</v>
      </c>
      <c r="E689" s="63">
        <v>14</v>
      </c>
      <c r="F689" s="59">
        <v>0.28799999999999998</v>
      </c>
      <c r="G689" s="51">
        <v>1.6E-2</v>
      </c>
      <c r="H689" s="51">
        <v>0.752</v>
      </c>
      <c r="I689" s="51">
        <v>4.4800000000000004</v>
      </c>
      <c r="J689" s="53">
        <v>7.2</v>
      </c>
      <c r="K689" s="126"/>
      <c r="L689" s="114">
        <v>20.7</v>
      </c>
      <c r="M689" s="68">
        <f t="shared" si="24"/>
        <v>0.35811000000000004</v>
      </c>
    </row>
    <row r="690" spans="1:13" x14ac:dyDescent="0.25">
      <c r="A690" s="802"/>
      <c r="B690" s="96" t="s">
        <v>36</v>
      </c>
      <c r="C690" s="96"/>
      <c r="D690" s="63">
        <v>31.3</v>
      </c>
      <c r="E690" s="63">
        <v>23.3</v>
      </c>
      <c r="F690" s="102">
        <v>0.31</v>
      </c>
      <c r="G690" s="63">
        <v>6.4000000000000001E-2</v>
      </c>
      <c r="H690" s="63">
        <v>2.6080000000000001</v>
      </c>
      <c r="I690" s="63">
        <v>12.32</v>
      </c>
      <c r="J690" s="96">
        <v>3.2</v>
      </c>
      <c r="K690" s="126"/>
      <c r="L690" s="114">
        <v>21.89</v>
      </c>
      <c r="M690" s="68">
        <f t="shared" si="24"/>
        <v>0.68515700000000002</v>
      </c>
    </row>
    <row r="691" spans="1:13" x14ac:dyDescent="0.25">
      <c r="A691" s="802"/>
      <c r="B691" s="96" t="s">
        <v>59</v>
      </c>
      <c r="C691" s="96"/>
      <c r="D691" s="63">
        <v>13.3</v>
      </c>
      <c r="E691" s="63">
        <v>10</v>
      </c>
      <c r="F691" s="63">
        <v>0.104</v>
      </c>
      <c r="G691" s="63">
        <v>8.0000000000000002E-3</v>
      </c>
      <c r="H691" s="63">
        <v>0.55200000000000005</v>
      </c>
      <c r="I691" s="63">
        <v>2.8</v>
      </c>
      <c r="J691" s="96">
        <v>0.4</v>
      </c>
      <c r="K691" s="126"/>
      <c r="L691" s="114">
        <v>38.5</v>
      </c>
      <c r="M691" s="68">
        <f t="shared" si="24"/>
        <v>0.51205000000000012</v>
      </c>
    </row>
    <row r="692" spans="1:13" x14ac:dyDescent="0.25">
      <c r="A692" s="802"/>
      <c r="B692" s="96" t="s">
        <v>32</v>
      </c>
      <c r="C692" s="96"/>
      <c r="D692" s="63">
        <v>10</v>
      </c>
      <c r="E692" s="63">
        <v>8</v>
      </c>
      <c r="F692" s="63">
        <v>0.112</v>
      </c>
      <c r="G692" s="63">
        <v>1.6E-2</v>
      </c>
      <c r="H692" s="63">
        <v>0.65600000000000003</v>
      </c>
      <c r="I692" s="63">
        <v>0.28000000000000003</v>
      </c>
      <c r="J692" s="96">
        <v>0.8</v>
      </c>
      <c r="K692" s="126"/>
      <c r="L692" s="114">
        <v>21.98</v>
      </c>
      <c r="M692" s="68">
        <f t="shared" si="24"/>
        <v>0.21980000000000002</v>
      </c>
    </row>
    <row r="693" spans="1:13" x14ac:dyDescent="0.25">
      <c r="A693" s="802"/>
      <c r="B693" s="96" t="s">
        <v>60</v>
      </c>
      <c r="C693" s="96"/>
      <c r="D693" s="63">
        <v>2.7</v>
      </c>
      <c r="E693" s="63">
        <v>2.7</v>
      </c>
      <c r="F693" s="102">
        <v>0.28799999999999998</v>
      </c>
      <c r="G693" s="63">
        <v>0</v>
      </c>
      <c r="H693" s="63">
        <v>1.1399999999999999</v>
      </c>
      <c r="I693" s="63">
        <v>6.12</v>
      </c>
      <c r="J693" s="96">
        <v>2.7</v>
      </c>
      <c r="K693" s="126"/>
      <c r="L693" s="114">
        <v>120</v>
      </c>
      <c r="M693" s="68">
        <f t="shared" si="24"/>
        <v>0.32400000000000001</v>
      </c>
    </row>
    <row r="694" spans="1:13" x14ac:dyDescent="0.25">
      <c r="A694" s="802"/>
      <c r="B694" s="96" t="s">
        <v>37</v>
      </c>
      <c r="C694" s="96"/>
      <c r="D694" s="63">
        <v>4</v>
      </c>
      <c r="E694" s="63">
        <v>4</v>
      </c>
      <c r="F694" s="102">
        <v>0</v>
      </c>
      <c r="G694" s="63">
        <v>3.996</v>
      </c>
      <c r="H694" s="63">
        <v>0</v>
      </c>
      <c r="I694" s="63">
        <v>35.96</v>
      </c>
      <c r="J694" s="96">
        <v>0</v>
      </c>
      <c r="K694" s="126"/>
      <c r="L694" s="114">
        <v>92.2</v>
      </c>
      <c r="M694" s="68">
        <f t="shared" si="24"/>
        <v>0.36880000000000002</v>
      </c>
    </row>
    <row r="695" spans="1:13" x14ac:dyDescent="0.25">
      <c r="A695" s="802"/>
      <c r="B695" s="96" t="s">
        <v>49</v>
      </c>
      <c r="C695" s="96"/>
      <c r="D695" s="63">
        <v>2</v>
      </c>
      <c r="E695" s="63">
        <v>2</v>
      </c>
      <c r="F695" s="102">
        <v>0</v>
      </c>
      <c r="G695" s="63">
        <v>0</v>
      </c>
      <c r="H695" s="63">
        <v>1.996</v>
      </c>
      <c r="I695" s="63">
        <v>7.58</v>
      </c>
      <c r="J695" s="96">
        <v>0</v>
      </c>
      <c r="K695" s="126"/>
      <c r="L695" s="114">
        <v>50.7</v>
      </c>
      <c r="M695" s="68">
        <f t="shared" si="24"/>
        <v>0.1014</v>
      </c>
    </row>
    <row r="696" spans="1:13" x14ac:dyDescent="0.25">
      <c r="A696" s="802"/>
      <c r="B696" s="96" t="s">
        <v>19</v>
      </c>
      <c r="C696" s="96"/>
      <c r="D696" s="63">
        <v>160</v>
      </c>
      <c r="E696" s="63">
        <v>160</v>
      </c>
      <c r="F696" s="102">
        <v>0</v>
      </c>
      <c r="G696" s="63">
        <v>0</v>
      </c>
      <c r="H696" s="63">
        <v>0</v>
      </c>
      <c r="I696" s="63">
        <v>0</v>
      </c>
      <c r="J696" s="96">
        <v>0</v>
      </c>
      <c r="K696" s="126"/>
      <c r="L696" s="114">
        <v>0</v>
      </c>
      <c r="M696" s="68">
        <f t="shared" si="24"/>
        <v>0</v>
      </c>
    </row>
    <row r="697" spans="1:13" x14ac:dyDescent="0.25">
      <c r="A697" s="802"/>
      <c r="B697" s="96" t="s">
        <v>61</v>
      </c>
      <c r="C697" s="96"/>
      <c r="D697" s="63">
        <v>7.0000000000000001E-3</v>
      </c>
      <c r="E697" s="63">
        <v>7.0000000000000001E-3</v>
      </c>
      <c r="F697" s="102">
        <v>0</v>
      </c>
      <c r="G697" s="63">
        <v>0</v>
      </c>
      <c r="H697" s="63">
        <v>0</v>
      </c>
      <c r="I697" s="63">
        <v>0</v>
      </c>
      <c r="J697" s="96">
        <v>0</v>
      </c>
      <c r="K697" s="126"/>
      <c r="L697" s="114">
        <v>550</v>
      </c>
      <c r="M697" s="68">
        <f t="shared" si="24"/>
        <v>3.8500000000000001E-3</v>
      </c>
    </row>
    <row r="698" spans="1:13" x14ac:dyDescent="0.25">
      <c r="A698" s="802"/>
      <c r="B698" s="96" t="s">
        <v>112</v>
      </c>
      <c r="C698" s="96"/>
      <c r="D698" s="63">
        <v>1.2</v>
      </c>
      <c r="E698" s="63">
        <v>1.2</v>
      </c>
      <c r="F698" s="102">
        <v>0</v>
      </c>
      <c r="G698" s="63">
        <v>0</v>
      </c>
      <c r="H698" s="63">
        <v>0</v>
      </c>
      <c r="I698" s="63">
        <v>0</v>
      </c>
      <c r="J698" s="96">
        <v>0</v>
      </c>
      <c r="K698" s="126"/>
      <c r="L698" s="114">
        <v>16.62</v>
      </c>
      <c r="M698" s="68">
        <f t="shared" si="24"/>
        <v>1.9944E-2</v>
      </c>
    </row>
    <row r="699" spans="1:13" x14ac:dyDescent="0.25">
      <c r="A699" s="802"/>
      <c r="B699" s="96" t="s">
        <v>62</v>
      </c>
      <c r="C699" s="96"/>
      <c r="D699" s="63">
        <v>4</v>
      </c>
      <c r="E699" s="63">
        <v>4</v>
      </c>
      <c r="F699" s="63">
        <v>0.1</v>
      </c>
      <c r="G699" s="63">
        <v>0.6</v>
      </c>
      <c r="H699" s="63">
        <v>0.13600000000000001</v>
      </c>
      <c r="I699" s="63">
        <v>8.24</v>
      </c>
      <c r="J699" s="96">
        <v>1.2E-2</v>
      </c>
      <c r="K699" s="126"/>
      <c r="L699" s="114">
        <v>153</v>
      </c>
      <c r="M699" s="68">
        <f t="shared" si="24"/>
        <v>0.61199999999999999</v>
      </c>
    </row>
    <row r="700" spans="1:13" x14ac:dyDescent="0.25">
      <c r="A700" s="802"/>
      <c r="B700" s="117"/>
      <c r="C700" s="117"/>
      <c r="D700" s="100"/>
      <c r="E700" s="100"/>
      <c r="F700" s="118">
        <f>SUM(F688:F699)</f>
        <v>1.6820000000000004</v>
      </c>
      <c r="G700" s="118">
        <f>SUM(G688:G699)</f>
        <v>4.7319999999999993</v>
      </c>
      <c r="H700" s="118">
        <f>SUM(H688:H699)</f>
        <v>10.655999999999999</v>
      </c>
      <c r="I700" s="118">
        <f>SUM(I688:I699)</f>
        <v>91.22</v>
      </c>
      <c r="J700" s="119">
        <f>SUM(J688:J699)</f>
        <v>17.512000000000004</v>
      </c>
      <c r="K700" s="156"/>
      <c r="L700" s="65"/>
      <c r="M700" s="72">
        <f>SUM(M688:M699)</f>
        <v>4.0680309999999995</v>
      </c>
    </row>
    <row r="701" spans="1:13" x14ac:dyDescent="0.25">
      <c r="A701" s="802"/>
      <c r="B701" s="647" t="s">
        <v>331</v>
      </c>
      <c r="C701" s="124" t="s">
        <v>333</v>
      </c>
      <c r="D701" s="13"/>
      <c r="E701" s="13"/>
      <c r="F701" s="63"/>
      <c r="G701" s="63"/>
      <c r="H701" s="63"/>
      <c r="I701" s="63"/>
      <c r="J701" s="96"/>
      <c r="K701" s="125" t="s">
        <v>332</v>
      </c>
      <c r="L701" s="65"/>
      <c r="M701" s="64"/>
    </row>
    <row r="702" spans="1:13" x14ac:dyDescent="0.25">
      <c r="A702" s="802"/>
      <c r="B702" s="107" t="s">
        <v>274</v>
      </c>
      <c r="C702" s="107"/>
      <c r="D702" s="141">
        <v>130</v>
      </c>
      <c r="E702" s="141">
        <v>57</v>
      </c>
      <c r="F702" s="63">
        <v>10.66</v>
      </c>
      <c r="G702" s="63">
        <v>9.18</v>
      </c>
      <c r="H702" s="63">
        <v>0</v>
      </c>
      <c r="I702" s="63">
        <v>125.4</v>
      </c>
      <c r="J702" s="96">
        <v>1.1399999999999999</v>
      </c>
      <c r="K702" s="126"/>
      <c r="L702" s="114">
        <v>222.66</v>
      </c>
      <c r="M702" s="68">
        <f>SUM(L702*D702)/1000</f>
        <v>28.945799999999998</v>
      </c>
    </row>
    <row r="703" spans="1:13" x14ac:dyDescent="0.25">
      <c r="A703" s="802"/>
      <c r="B703" s="107" t="s">
        <v>18</v>
      </c>
      <c r="C703" s="96"/>
      <c r="D703" s="270">
        <v>5</v>
      </c>
      <c r="E703" s="270">
        <v>5</v>
      </c>
      <c r="F703" s="102">
        <v>0.35</v>
      </c>
      <c r="G703" s="63">
        <v>0.05</v>
      </c>
      <c r="H703" s="63">
        <v>3.57</v>
      </c>
      <c r="I703" s="63">
        <v>16.5</v>
      </c>
      <c r="J703" s="96">
        <v>0</v>
      </c>
      <c r="K703" s="152"/>
      <c r="L703" s="114">
        <v>376.98</v>
      </c>
      <c r="M703" s="68">
        <f>SUM(L703*D703)/1000</f>
        <v>1.8849</v>
      </c>
    </row>
    <row r="704" spans="1:13" x14ac:dyDescent="0.25">
      <c r="A704" s="802"/>
      <c r="B704" s="116" t="s">
        <v>334</v>
      </c>
      <c r="C704" s="201"/>
      <c r="D704" s="329"/>
      <c r="E704" s="329">
        <v>22.5</v>
      </c>
      <c r="F704" s="102"/>
      <c r="G704" s="63"/>
      <c r="H704" s="63"/>
      <c r="I704" s="63"/>
      <c r="J704" s="96"/>
      <c r="K704" s="152"/>
      <c r="L704" s="114">
        <v>0</v>
      </c>
      <c r="M704" s="68">
        <f>SUM(L704*D704)/1000</f>
        <v>0</v>
      </c>
    </row>
    <row r="705" spans="1:13" x14ac:dyDescent="0.25">
      <c r="A705" s="802"/>
      <c r="B705" s="107" t="s">
        <v>141</v>
      </c>
      <c r="C705" s="96"/>
      <c r="D705" s="270">
        <v>6</v>
      </c>
      <c r="E705" s="270">
        <v>6</v>
      </c>
      <c r="F705" s="102">
        <v>0.16800000000000001</v>
      </c>
      <c r="G705" s="63">
        <v>0.192</v>
      </c>
      <c r="H705" s="63">
        <v>0.28199999999999997</v>
      </c>
      <c r="I705" s="63">
        <v>3.48</v>
      </c>
      <c r="J705" s="96">
        <v>7.0000000000000007E-2</v>
      </c>
      <c r="K705" s="152"/>
      <c r="L705" s="114"/>
      <c r="M705" s="68"/>
    </row>
    <row r="706" spans="1:13" x14ac:dyDescent="0.25">
      <c r="A706" s="802"/>
      <c r="B706" s="107" t="s">
        <v>21</v>
      </c>
      <c r="C706" s="96"/>
      <c r="D706" s="270">
        <v>2</v>
      </c>
      <c r="E706" s="270">
        <v>2</v>
      </c>
      <c r="F706" s="102">
        <v>1.6E-2</v>
      </c>
      <c r="G706" s="63">
        <v>1.45</v>
      </c>
      <c r="H706" s="63">
        <v>2.5999999999999999E-2</v>
      </c>
      <c r="I706" s="63">
        <v>13.22</v>
      </c>
      <c r="J706" s="96">
        <v>0</v>
      </c>
      <c r="K706" s="152"/>
      <c r="L706" s="114"/>
      <c r="M706" s="68"/>
    </row>
    <row r="707" spans="1:13" x14ac:dyDescent="0.25">
      <c r="A707" s="802"/>
      <c r="B707" s="107" t="s">
        <v>112</v>
      </c>
      <c r="C707" s="96"/>
      <c r="D707" s="270">
        <v>0.6</v>
      </c>
      <c r="E707" s="270">
        <v>0.6</v>
      </c>
      <c r="F707" s="102"/>
      <c r="G707" s="63"/>
      <c r="H707" s="63"/>
      <c r="I707" s="63"/>
      <c r="J707" s="96"/>
      <c r="K707" s="152"/>
      <c r="L707" s="114"/>
      <c r="M707" s="68"/>
    </row>
    <row r="708" spans="1:13" x14ac:dyDescent="0.25">
      <c r="A708" s="802"/>
      <c r="B708" s="107" t="s">
        <v>189</v>
      </c>
      <c r="C708" s="96"/>
      <c r="D708" s="270"/>
      <c r="E708" s="270">
        <v>80</v>
      </c>
      <c r="F708" s="102"/>
      <c r="G708" s="63"/>
      <c r="H708" s="63"/>
      <c r="I708" s="63"/>
      <c r="J708" s="96"/>
      <c r="K708" s="152"/>
      <c r="L708" s="114"/>
      <c r="M708" s="68"/>
    </row>
    <row r="709" spans="1:13" x14ac:dyDescent="0.25">
      <c r="A709" s="802"/>
      <c r="B709" s="107" t="s">
        <v>335</v>
      </c>
      <c r="C709" s="96"/>
      <c r="D709" s="270">
        <v>5</v>
      </c>
      <c r="E709" s="270">
        <v>5</v>
      </c>
      <c r="F709" s="102">
        <v>0.04</v>
      </c>
      <c r="G709" s="63">
        <v>3.63</v>
      </c>
      <c r="H709" s="63">
        <v>6.5000000000000002E-2</v>
      </c>
      <c r="I709" s="63">
        <v>33.049999999999997</v>
      </c>
      <c r="J709" s="96">
        <v>0</v>
      </c>
      <c r="K709" s="152"/>
      <c r="L709" s="114"/>
      <c r="M709" s="68"/>
    </row>
    <row r="710" spans="1:13" x14ac:dyDescent="0.25">
      <c r="A710" s="802"/>
      <c r="B710" s="107"/>
      <c r="C710" s="96"/>
      <c r="D710" s="270"/>
      <c r="E710" s="270"/>
      <c r="F710" s="192">
        <f>SUM(F702:F709)</f>
        <v>11.233999999999998</v>
      </c>
      <c r="G710" s="118">
        <f>SUM(G702:G709)</f>
        <v>14.501999999999999</v>
      </c>
      <c r="H710" s="118">
        <f>SUM(H702:H709)</f>
        <v>3.9429999999999996</v>
      </c>
      <c r="I710" s="118">
        <f>SUM(I702:I709)</f>
        <v>191.64999999999998</v>
      </c>
      <c r="J710" s="139">
        <f>SUM(J702:J709)</f>
        <v>1.21</v>
      </c>
      <c r="K710" s="152"/>
      <c r="L710" s="114"/>
      <c r="M710" s="68"/>
    </row>
    <row r="711" spans="1:13" x14ac:dyDescent="0.25">
      <c r="A711" s="802"/>
      <c r="B711" s="647" t="s">
        <v>327</v>
      </c>
      <c r="C711" s="96"/>
      <c r="D711" s="451">
        <v>50</v>
      </c>
      <c r="E711" s="451">
        <v>50</v>
      </c>
      <c r="F711" s="59"/>
      <c r="G711" s="51"/>
      <c r="H711" s="51"/>
      <c r="I711" s="51"/>
      <c r="J711" s="53"/>
      <c r="K711" s="155" t="s">
        <v>328</v>
      </c>
      <c r="L711" s="114">
        <v>21.89</v>
      </c>
      <c r="M711" s="68">
        <f t="shared" ref="M711:M716" si="25">SUM(L711*D711)/1000</f>
        <v>1.0945</v>
      </c>
    </row>
    <row r="712" spans="1:13" x14ac:dyDescent="0.25">
      <c r="A712" s="802"/>
      <c r="B712" s="107" t="s">
        <v>32</v>
      </c>
      <c r="C712" s="107"/>
      <c r="D712" s="100">
        <v>12</v>
      </c>
      <c r="E712" s="100">
        <v>10</v>
      </c>
      <c r="F712" s="102">
        <v>0.154</v>
      </c>
      <c r="G712" s="63">
        <v>2.1999999999999999E-2</v>
      </c>
      <c r="H712" s="63">
        <v>0.90200000000000002</v>
      </c>
      <c r="I712" s="63">
        <v>4.51</v>
      </c>
      <c r="J712" s="96">
        <v>1.1000000000000001</v>
      </c>
      <c r="K712" s="152"/>
      <c r="L712" s="114">
        <v>21.98</v>
      </c>
      <c r="M712" s="68">
        <f t="shared" si="25"/>
        <v>0.26375999999999999</v>
      </c>
    </row>
    <row r="713" spans="1:13" x14ac:dyDescent="0.25">
      <c r="A713" s="802"/>
      <c r="B713" s="107" t="s">
        <v>21</v>
      </c>
      <c r="C713" s="107"/>
      <c r="D713" s="100">
        <v>1</v>
      </c>
      <c r="E713" s="100">
        <v>1</v>
      </c>
      <c r="F713" s="102">
        <v>1.6E-2</v>
      </c>
      <c r="G713" s="63">
        <v>1.45</v>
      </c>
      <c r="H713" s="63">
        <v>2.5999999999999999E-2</v>
      </c>
      <c r="I713" s="63">
        <v>13.22</v>
      </c>
      <c r="J713" s="96">
        <v>0</v>
      </c>
      <c r="K713" s="152"/>
      <c r="L713" s="114">
        <v>376.98</v>
      </c>
      <c r="M713" s="68">
        <f t="shared" si="25"/>
        <v>0.37698000000000004</v>
      </c>
    </row>
    <row r="714" spans="1:13" x14ac:dyDescent="0.25">
      <c r="A714" s="802"/>
      <c r="B714" s="116" t="s">
        <v>329</v>
      </c>
      <c r="C714" s="116"/>
      <c r="D714" s="330"/>
      <c r="E714" s="330">
        <v>46</v>
      </c>
      <c r="F714" s="102"/>
      <c r="G714" s="63"/>
      <c r="H714" s="63"/>
      <c r="I714" s="63"/>
      <c r="J714" s="96"/>
      <c r="K714" s="155" t="s">
        <v>328</v>
      </c>
      <c r="L714" s="114">
        <v>0</v>
      </c>
      <c r="M714" s="68">
        <f t="shared" si="25"/>
        <v>0</v>
      </c>
    </row>
    <row r="715" spans="1:13" x14ac:dyDescent="0.25">
      <c r="A715" s="802"/>
      <c r="B715" s="107" t="s">
        <v>152</v>
      </c>
      <c r="C715" s="107"/>
      <c r="D715" s="100">
        <v>11.5</v>
      </c>
      <c r="E715" s="100">
        <v>11.5</v>
      </c>
      <c r="F715" s="102">
        <v>1.6E-2</v>
      </c>
      <c r="G715" s="63">
        <v>1.45</v>
      </c>
      <c r="H715" s="63">
        <v>2.5999999999999999E-2</v>
      </c>
      <c r="I715" s="63">
        <v>13.22</v>
      </c>
      <c r="J715" s="96">
        <v>0</v>
      </c>
      <c r="K715" s="152"/>
      <c r="L715" s="114">
        <v>376.98</v>
      </c>
      <c r="M715" s="68">
        <f t="shared" si="25"/>
        <v>4.3352700000000004</v>
      </c>
    </row>
    <row r="716" spans="1:13" x14ac:dyDescent="0.25">
      <c r="A716" s="802"/>
      <c r="B716" s="107" t="s">
        <v>112</v>
      </c>
      <c r="C716" s="107"/>
      <c r="D716" s="100">
        <v>0.4</v>
      </c>
      <c r="E716" s="100">
        <v>0.4</v>
      </c>
      <c r="F716" s="102">
        <v>0</v>
      </c>
      <c r="G716" s="63">
        <v>0</v>
      </c>
      <c r="H716" s="63">
        <v>0</v>
      </c>
      <c r="I716" s="63">
        <v>0</v>
      </c>
      <c r="J716" s="96">
        <v>0</v>
      </c>
      <c r="K716" s="152"/>
      <c r="L716" s="114">
        <v>16.62</v>
      </c>
      <c r="M716" s="68">
        <f t="shared" si="25"/>
        <v>6.6480000000000003E-3</v>
      </c>
    </row>
    <row r="717" spans="1:13" x14ac:dyDescent="0.25">
      <c r="A717" s="802"/>
      <c r="B717" s="107" t="s">
        <v>33</v>
      </c>
      <c r="C717" s="194"/>
      <c r="D717" s="63">
        <v>3.5</v>
      </c>
      <c r="E717" s="195">
        <v>3.5</v>
      </c>
      <c r="F717" s="59">
        <v>0.23100000000000001</v>
      </c>
      <c r="G717" s="51">
        <v>2.4E-2</v>
      </c>
      <c r="H717" s="51">
        <v>1.552</v>
      </c>
      <c r="I717" s="51">
        <v>7.5149999999999997</v>
      </c>
      <c r="J717" s="269">
        <v>0</v>
      </c>
      <c r="K717" s="152"/>
      <c r="L717" s="114"/>
      <c r="M717" s="68"/>
    </row>
    <row r="718" spans="1:13" x14ac:dyDescent="0.25">
      <c r="A718" s="802"/>
      <c r="B718" s="107" t="s">
        <v>120</v>
      </c>
      <c r="C718" s="107"/>
      <c r="D718" s="100">
        <v>34.5</v>
      </c>
      <c r="E718" s="100">
        <v>34.5</v>
      </c>
      <c r="F718" s="102">
        <v>0</v>
      </c>
      <c r="G718" s="63">
        <v>0</v>
      </c>
      <c r="H718" s="63">
        <v>0</v>
      </c>
      <c r="I718" s="63">
        <v>0</v>
      </c>
      <c r="J718" s="96">
        <v>0</v>
      </c>
      <c r="K718" s="152"/>
      <c r="L718" s="114">
        <v>60.5</v>
      </c>
      <c r="M718" s="68">
        <f>SUM(L718*D718)/1000</f>
        <v>2.08725</v>
      </c>
    </row>
    <row r="719" spans="1:13" x14ac:dyDescent="0.25">
      <c r="A719" s="802"/>
      <c r="B719" s="107"/>
      <c r="C719" s="107"/>
      <c r="D719" s="100"/>
      <c r="E719" s="100"/>
      <c r="F719" s="192">
        <f>SUM(F712:F718)</f>
        <v>0.41700000000000004</v>
      </c>
      <c r="G719" s="118">
        <f>SUM(G712:G718)</f>
        <v>2.9459999999999997</v>
      </c>
      <c r="H719" s="118">
        <f>SUM(H712:H718)</f>
        <v>2.5060000000000002</v>
      </c>
      <c r="I719" s="118">
        <f>SUM(I712:I718)</f>
        <v>38.465000000000003</v>
      </c>
      <c r="J719" s="139">
        <f>SUM(J712:J718)</f>
        <v>1.1000000000000001</v>
      </c>
      <c r="K719" s="152"/>
      <c r="L719" s="114"/>
      <c r="M719" s="68"/>
    </row>
    <row r="720" spans="1:13" ht="30" x14ac:dyDescent="0.25">
      <c r="A720" s="802"/>
      <c r="B720" s="647" t="s">
        <v>143</v>
      </c>
      <c r="C720" s="124">
        <v>120</v>
      </c>
      <c r="D720" s="13"/>
      <c r="E720" s="13"/>
      <c r="F720" s="63"/>
      <c r="G720" s="63"/>
      <c r="H720" s="63"/>
      <c r="I720" s="63"/>
      <c r="J720" s="96"/>
      <c r="K720" s="125" t="s">
        <v>312</v>
      </c>
      <c r="L720" s="65"/>
      <c r="M720" s="64"/>
    </row>
    <row r="721" spans="1:13" x14ac:dyDescent="0.25">
      <c r="A721" s="802"/>
      <c r="B721" s="96" t="s">
        <v>144</v>
      </c>
      <c r="C721" s="96"/>
      <c r="D721" s="63">
        <v>40</v>
      </c>
      <c r="E721" s="63">
        <v>40</v>
      </c>
      <c r="F721" s="102">
        <v>7.28</v>
      </c>
      <c r="G721" s="63">
        <v>0.77</v>
      </c>
      <c r="H721" s="63">
        <v>48.79</v>
      </c>
      <c r="I721" s="63">
        <v>235.9</v>
      </c>
      <c r="J721" s="96">
        <v>0</v>
      </c>
      <c r="K721" s="125"/>
      <c r="L721" s="114">
        <v>46.18</v>
      </c>
      <c r="M721" s="68">
        <f>SUM(L721*D721)/1000</f>
        <v>1.8472</v>
      </c>
    </row>
    <row r="722" spans="1:13" x14ac:dyDescent="0.25">
      <c r="A722" s="802"/>
      <c r="B722" s="96" t="s">
        <v>112</v>
      </c>
      <c r="C722" s="96"/>
      <c r="D722" s="63">
        <v>2</v>
      </c>
      <c r="E722" s="63">
        <v>2</v>
      </c>
      <c r="F722" s="102">
        <v>0</v>
      </c>
      <c r="G722" s="63">
        <v>0</v>
      </c>
      <c r="H722" s="63">
        <v>0</v>
      </c>
      <c r="I722" s="63">
        <v>0</v>
      </c>
      <c r="J722" s="96">
        <v>0</v>
      </c>
      <c r="K722" s="125"/>
      <c r="L722" s="114">
        <v>16.62</v>
      </c>
      <c r="M722" s="68">
        <f>SUM(L722*D722)/1000</f>
        <v>3.3239999999999999E-2</v>
      </c>
    </row>
    <row r="723" spans="1:13" x14ac:dyDescent="0.25">
      <c r="A723" s="802"/>
      <c r="B723" s="116" t="s">
        <v>121</v>
      </c>
      <c r="C723" s="107"/>
      <c r="D723" s="141" t="s">
        <v>35</v>
      </c>
      <c r="E723" s="141">
        <v>114.5</v>
      </c>
      <c r="F723" s="63">
        <v>0</v>
      </c>
      <c r="G723" s="63">
        <v>0</v>
      </c>
      <c r="H723" s="102">
        <v>0</v>
      </c>
      <c r="I723" s="63">
        <v>0</v>
      </c>
      <c r="J723" s="96">
        <v>0</v>
      </c>
      <c r="K723" s="125"/>
      <c r="L723" s="114"/>
      <c r="M723" s="68"/>
    </row>
    <row r="724" spans="1:13" ht="18" customHeight="1" x14ac:dyDescent="0.25">
      <c r="A724" s="802"/>
      <c r="B724" s="101" t="s">
        <v>21</v>
      </c>
      <c r="C724" s="107"/>
      <c r="D724" s="63">
        <v>5</v>
      </c>
      <c r="E724" s="63">
        <v>5</v>
      </c>
      <c r="F724" s="99">
        <v>0.04</v>
      </c>
      <c r="G724" s="100">
        <v>3.625</v>
      </c>
      <c r="H724" s="63">
        <v>6.5000000000000002E-2</v>
      </c>
      <c r="I724" s="63">
        <v>33.049999999999997</v>
      </c>
      <c r="J724" s="96">
        <v>0</v>
      </c>
      <c r="K724" s="126"/>
      <c r="L724" s="114">
        <v>376.98</v>
      </c>
      <c r="M724" s="68">
        <f>SUM(L724*D724)/1000</f>
        <v>1.8849</v>
      </c>
    </row>
    <row r="725" spans="1:13" x14ac:dyDescent="0.25">
      <c r="A725" s="802"/>
      <c r="B725" s="116"/>
      <c r="C725" s="107"/>
      <c r="D725" s="63"/>
      <c r="E725" s="63"/>
      <c r="F725" s="118">
        <f>SUM(F721:F724)</f>
        <v>7.32</v>
      </c>
      <c r="G725" s="118">
        <f>SUM(G721:G724)</f>
        <v>4.3949999999999996</v>
      </c>
      <c r="H725" s="118">
        <f>SUM(H721:H724)</f>
        <v>48.854999999999997</v>
      </c>
      <c r="I725" s="118">
        <f>SUM(I721:I724)</f>
        <v>268.95</v>
      </c>
      <c r="J725" s="119">
        <f>SUM(J721:J724)</f>
        <v>0</v>
      </c>
      <c r="K725" s="156"/>
      <c r="L725" s="65"/>
      <c r="M725" s="72">
        <f>SUM(M721:M724)</f>
        <v>3.7653400000000001</v>
      </c>
    </row>
    <row r="726" spans="1:13" x14ac:dyDescent="0.25">
      <c r="A726" s="802"/>
      <c r="B726" s="138" t="s">
        <v>180</v>
      </c>
      <c r="C726" s="124">
        <v>180</v>
      </c>
      <c r="D726" s="13"/>
      <c r="E726" s="13"/>
      <c r="F726" s="63"/>
      <c r="G726" s="63"/>
      <c r="H726" s="63"/>
      <c r="I726" s="63"/>
      <c r="J726" s="96"/>
      <c r="K726" s="108" t="s">
        <v>181</v>
      </c>
      <c r="L726" s="65"/>
      <c r="M726" s="64"/>
    </row>
    <row r="727" spans="1:13" x14ac:dyDescent="0.25">
      <c r="A727" s="802"/>
      <c r="B727" s="107" t="s">
        <v>182</v>
      </c>
      <c r="C727" s="107"/>
      <c r="D727" s="63">
        <v>18</v>
      </c>
      <c r="E727" s="63" t="s">
        <v>183</v>
      </c>
      <c r="F727" s="63">
        <v>0.93600000000000005</v>
      </c>
      <c r="G727" s="63">
        <v>5.3999999999999999E-2</v>
      </c>
      <c r="H727" s="63">
        <v>9.18</v>
      </c>
      <c r="I727" s="63">
        <v>41.76</v>
      </c>
      <c r="J727" s="96">
        <v>0.72</v>
      </c>
      <c r="K727" s="136"/>
      <c r="L727" s="114">
        <v>90</v>
      </c>
      <c r="M727" s="68">
        <f>SUM(L727*D727)/1000</f>
        <v>1.62</v>
      </c>
    </row>
    <row r="728" spans="1:13" x14ac:dyDescent="0.25">
      <c r="A728" s="802"/>
      <c r="B728" s="107" t="s">
        <v>38</v>
      </c>
      <c r="C728" s="107"/>
      <c r="D728" s="63">
        <v>14.4</v>
      </c>
      <c r="E728" s="63">
        <v>14.4</v>
      </c>
      <c r="F728" s="63">
        <v>0</v>
      </c>
      <c r="G728" s="63">
        <v>0</v>
      </c>
      <c r="H728" s="63">
        <v>14.371</v>
      </c>
      <c r="I728" s="63">
        <v>54.576000000000001</v>
      </c>
      <c r="J728" s="96">
        <v>0</v>
      </c>
      <c r="K728" s="136"/>
      <c r="L728" s="114">
        <v>50</v>
      </c>
      <c r="M728" s="68">
        <f>SUM(L728*D728)/1000</f>
        <v>0.72</v>
      </c>
    </row>
    <row r="729" spans="1:13" x14ac:dyDescent="0.25">
      <c r="A729" s="802"/>
      <c r="B729" s="107" t="s">
        <v>19</v>
      </c>
      <c r="C729" s="107"/>
      <c r="D729" s="63">
        <v>182.7</v>
      </c>
      <c r="E729" s="63">
        <v>182.7</v>
      </c>
      <c r="F729" s="63">
        <v>0</v>
      </c>
      <c r="G729" s="63">
        <v>0</v>
      </c>
      <c r="H729" s="63">
        <v>0</v>
      </c>
      <c r="I729" s="63">
        <v>0</v>
      </c>
      <c r="J729" s="96">
        <v>0</v>
      </c>
      <c r="K729" s="136"/>
      <c r="L729" s="114">
        <v>0</v>
      </c>
      <c r="M729" s="68">
        <f>SUM(L729*D729)/1000</f>
        <v>0</v>
      </c>
    </row>
    <row r="730" spans="1:13" x14ac:dyDescent="0.25">
      <c r="A730" s="802"/>
      <c r="B730" s="647" t="s">
        <v>39</v>
      </c>
      <c r="C730" s="124">
        <v>40</v>
      </c>
      <c r="D730" s="63">
        <v>40</v>
      </c>
      <c r="E730" s="63">
        <v>40</v>
      </c>
      <c r="F730" s="118">
        <v>3.3</v>
      </c>
      <c r="G730" s="118">
        <v>0.6</v>
      </c>
      <c r="H730" s="118">
        <v>17.100000000000001</v>
      </c>
      <c r="I730" s="118">
        <v>90.5</v>
      </c>
      <c r="J730" s="139">
        <v>0</v>
      </c>
      <c r="K730" s="153" t="s">
        <v>73</v>
      </c>
      <c r="L730" s="114">
        <v>40</v>
      </c>
      <c r="M730" s="72">
        <f>SUM(L730*D730)/1000</f>
        <v>1.6</v>
      </c>
    </row>
    <row r="731" spans="1:13" x14ac:dyDescent="0.25">
      <c r="A731" s="802"/>
      <c r="B731" s="647" t="s">
        <v>40</v>
      </c>
      <c r="C731" s="124">
        <v>40</v>
      </c>
      <c r="D731" s="63">
        <v>40</v>
      </c>
      <c r="E731" s="63">
        <v>40</v>
      </c>
      <c r="F731" s="118">
        <v>3.85</v>
      </c>
      <c r="G731" s="118">
        <v>1.5</v>
      </c>
      <c r="H731" s="118">
        <v>24.9</v>
      </c>
      <c r="I731" s="118">
        <v>131</v>
      </c>
      <c r="J731" s="139">
        <v>0</v>
      </c>
      <c r="K731" s="153" t="s">
        <v>73</v>
      </c>
      <c r="L731" s="114">
        <v>35</v>
      </c>
      <c r="M731" s="72">
        <f>SUM(L731*D731)/1000</f>
        <v>1.4</v>
      </c>
    </row>
    <row r="732" spans="1:13" x14ac:dyDescent="0.25">
      <c r="A732" s="803"/>
      <c r="B732" s="124" t="s">
        <v>153</v>
      </c>
      <c r="C732" s="124"/>
      <c r="D732" s="63"/>
      <c r="E732" s="63"/>
      <c r="F732" s="142">
        <f>F700+F710+F719+F725+F730+F731</f>
        <v>27.803000000000001</v>
      </c>
      <c r="G732" s="142">
        <f>G700+G710+G719+G725+G730+G731</f>
        <v>28.675000000000001</v>
      </c>
      <c r="H732" s="142">
        <f>H700+H710+H719+H725+H730+H731</f>
        <v>107.96000000000001</v>
      </c>
      <c r="I732" s="142">
        <f>I700+I710+I719+I725+I730+I731</f>
        <v>811.78500000000008</v>
      </c>
      <c r="J732" s="143">
        <f>J700+J710+J719+J725+J730+J731</f>
        <v>19.822000000000006</v>
      </c>
      <c r="K732" s="234"/>
      <c r="L732" s="235"/>
      <c r="M732" s="36">
        <f>SUM(M698,M707,M714,M722,M730:M731,)</f>
        <v>3.0531839999999999</v>
      </c>
    </row>
    <row r="733" spans="1:13" x14ac:dyDescent="0.25">
      <c r="A733" s="5" t="s">
        <v>75</v>
      </c>
      <c r="B733" s="13"/>
      <c r="C733" s="4"/>
      <c r="D733" s="105"/>
      <c r="E733" s="106"/>
      <c r="F733" s="183"/>
      <c r="G733" s="183"/>
      <c r="H733" s="183"/>
      <c r="I733" s="183"/>
      <c r="J733" s="249"/>
      <c r="K733" s="250"/>
      <c r="L733" s="65"/>
      <c r="M733" s="64"/>
    </row>
    <row r="734" spans="1:13" x14ac:dyDescent="0.25">
      <c r="A734" s="730"/>
      <c r="B734" s="13" t="s">
        <v>378</v>
      </c>
      <c r="C734" s="166">
        <v>60</v>
      </c>
      <c r="D734" s="105"/>
      <c r="E734" s="106"/>
      <c r="F734" s="107">
        <v>3.7</v>
      </c>
      <c r="G734" s="107">
        <v>1.8</v>
      </c>
      <c r="H734" s="107">
        <v>32.1</v>
      </c>
      <c r="I734" s="107">
        <v>159</v>
      </c>
      <c r="J734" s="107">
        <v>0</v>
      </c>
      <c r="K734" s="250"/>
      <c r="L734" s="65"/>
      <c r="M734" s="64"/>
    </row>
    <row r="735" spans="1:13" x14ac:dyDescent="0.25">
      <c r="A735" s="730"/>
      <c r="B735" s="107" t="s">
        <v>379</v>
      </c>
      <c r="C735" s="107"/>
      <c r="D735" s="107">
        <v>27.5</v>
      </c>
      <c r="E735" s="107">
        <v>27.5</v>
      </c>
      <c r="F735" s="107">
        <v>2.8319999999999999</v>
      </c>
      <c r="G735" s="107">
        <v>0.3</v>
      </c>
      <c r="H735" s="107">
        <v>8.25</v>
      </c>
      <c r="I735" s="107">
        <v>91.85</v>
      </c>
      <c r="J735" s="107"/>
      <c r="K735" s="250"/>
      <c r="L735" s="65"/>
      <c r="M735" s="64"/>
    </row>
    <row r="736" spans="1:13" x14ac:dyDescent="0.25">
      <c r="A736" s="730"/>
      <c r="B736" s="107" t="s">
        <v>20</v>
      </c>
      <c r="C736" s="107"/>
      <c r="D736" s="107">
        <v>2</v>
      </c>
      <c r="E736" s="107">
        <v>2</v>
      </c>
      <c r="F736" s="107">
        <v>2</v>
      </c>
      <c r="G736" s="107">
        <v>0</v>
      </c>
      <c r="H736" s="107">
        <v>0</v>
      </c>
      <c r="I736" s="107">
        <v>1.996</v>
      </c>
      <c r="J736" s="107">
        <v>7.58</v>
      </c>
      <c r="K736" s="250"/>
      <c r="L736" s="65"/>
      <c r="M736" s="64"/>
    </row>
    <row r="737" spans="1:13" x14ac:dyDescent="0.25">
      <c r="A737" s="730"/>
      <c r="B737" s="107" t="s">
        <v>288</v>
      </c>
      <c r="C737" s="107"/>
      <c r="D737" s="107">
        <v>3</v>
      </c>
      <c r="E737" s="107">
        <v>3</v>
      </c>
      <c r="F737" s="107">
        <v>0.38100000000000001</v>
      </c>
      <c r="G737" s="107">
        <v>0.34499999999999997</v>
      </c>
      <c r="H737" s="107">
        <v>2.1000000000000001E-2</v>
      </c>
      <c r="I737" s="107">
        <v>4.71</v>
      </c>
      <c r="J737" s="107">
        <v>0</v>
      </c>
      <c r="K737" s="250"/>
      <c r="L737" s="65"/>
      <c r="M737" s="64"/>
    </row>
    <row r="738" spans="1:13" x14ac:dyDescent="0.25">
      <c r="A738" s="730"/>
      <c r="B738" s="107" t="s">
        <v>387</v>
      </c>
      <c r="C738" s="107"/>
      <c r="D738" s="107" t="s">
        <v>386</v>
      </c>
      <c r="E738" s="107">
        <v>41275</v>
      </c>
      <c r="F738" s="107">
        <v>0.38100000000000001</v>
      </c>
      <c r="G738" s="107">
        <v>0.34499999999999997</v>
      </c>
      <c r="H738" s="107">
        <v>2.1000000000000001E-2</v>
      </c>
      <c r="I738" s="107">
        <v>4.71</v>
      </c>
      <c r="J738" s="107">
        <v>0</v>
      </c>
      <c r="K738" s="250"/>
      <c r="L738" s="65"/>
      <c r="M738" s="64"/>
    </row>
    <row r="739" spans="1:13" x14ac:dyDescent="0.25">
      <c r="A739" s="730"/>
      <c r="B739" s="107" t="s">
        <v>112</v>
      </c>
      <c r="C739" s="107"/>
      <c r="D739" s="107">
        <v>0.3</v>
      </c>
      <c r="E739" s="107">
        <v>0.3</v>
      </c>
      <c r="F739" s="107">
        <v>0</v>
      </c>
      <c r="G739" s="107">
        <v>0</v>
      </c>
      <c r="H739" s="107">
        <v>0</v>
      </c>
      <c r="I739" s="107">
        <v>0</v>
      </c>
      <c r="J739" s="107">
        <v>0</v>
      </c>
      <c r="K739" s="250"/>
      <c r="L739" s="65"/>
      <c r="M739" s="64"/>
    </row>
    <row r="740" spans="1:13" x14ac:dyDescent="0.25">
      <c r="A740" s="730"/>
      <c r="B740" s="107" t="s">
        <v>380</v>
      </c>
      <c r="C740" s="107"/>
      <c r="D740" s="107" t="s">
        <v>381</v>
      </c>
      <c r="E740" s="107" t="s">
        <v>381</v>
      </c>
      <c r="F740" s="107">
        <v>0</v>
      </c>
      <c r="G740" s="107">
        <v>0</v>
      </c>
      <c r="H740" s="107">
        <v>0</v>
      </c>
      <c r="I740" s="107">
        <v>0</v>
      </c>
      <c r="J740" s="107">
        <v>0</v>
      </c>
      <c r="K740" s="250"/>
      <c r="L740" s="65"/>
      <c r="M740" s="64"/>
    </row>
    <row r="741" spans="1:13" x14ac:dyDescent="0.25">
      <c r="A741" s="730"/>
      <c r="B741" s="107" t="s">
        <v>385</v>
      </c>
      <c r="C741" s="107"/>
      <c r="D741" s="107">
        <v>7.3</v>
      </c>
      <c r="E741" s="107">
        <v>7.3</v>
      </c>
      <c r="F741" s="107">
        <v>0.20399999999999999</v>
      </c>
      <c r="G741" s="107">
        <v>0.23300000000000001</v>
      </c>
      <c r="H741" s="107">
        <v>0.34300000000000003</v>
      </c>
      <c r="I741" s="107">
        <v>4.2300000000000004</v>
      </c>
      <c r="J741" s="107">
        <v>9.4E-2</v>
      </c>
      <c r="K741" s="250"/>
      <c r="L741" s="65"/>
      <c r="M741" s="64"/>
    </row>
    <row r="742" spans="1:13" x14ac:dyDescent="0.25">
      <c r="A742" s="730"/>
      <c r="B742" s="107" t="s">
        <v>96</v>
      </c>
      <c r="C742" s="107"/>
      <c r="D742" s="107"/>
      <c r="E742" s="107">
        <v>43</v>
      </c>
      <c r="F742" s="107">
        <v>0</v>
      </c>
      <c r="G742" s="107">
        <v>0</v>
      </c>
      <c r="H742" s="107">
        <v>0</v>
      </c>
      <c r="I742" s="107">
        <v>0</v>
      </c>
      <c r="J742" s="107">
        <v>0</v>
      </c>
      <c r="K742" s="250"/>
      <c r="L742" s="65"/>
      <c r="M742" s="64"/>
    </row>
    <row r="743" spans="1:13" x14ac:dyDescent="0.25">
      <c r="A743" s="781"/>
      <c r="B743" s="107" t="s">
        <v>97</v>
      </c>
      <c r="C743" s="107"/>
      <c r="D743" s="107">
        <v>1.3</v>
      </c>
      <c r="E743" s="107">
        <v>1.3</v>
      </c>
      <c r="F743" s="107">
        <v>0.13300000000000001</v>
      </c>
      <c r="G743" s="107">
        <v>0.01</v>
      </c>
      <c r="H743" s="107">
        <v>0.75900000000000001</v>
      </c>
      <c r="I743" s="107">
        <v>4.3419999999999996</v>
      </c>
      <c r="J743" s="107">
        <v>0</v>
      </c>
      <c r="K743" s="236"/>
      <c r="L743" s="365"/>
      <c r="M743" s="366"/>
    </row>
    <row r="744" spans="1:13" x14ac:dyDescent="0.25">
      <c r="A744" s="782"/>
      <c r="B744" s="107" t="s">
        <v>382</v>
      </c>
      <c r="C744" s="107">
        <v>30</v>
      </c>
      <c r="D744" s="107">
        <v>25.25</v>
      </c>
      <c r="E744" s="107">
        <v>25</v>
      </c>
      <c r="F744" s="107">
        <v>0</v>
      </c>
      <c r="G744" s="107">
        <v>0</v>
      </c>
      <c r="H744" s="107">
        <v>0</v>
      </c>
      <c r="I744" s="107">
        <v>0</v>
      </c>
      <c r="J744" s="107">
        <v>0</v>
      </c>
      <c r="K744" s="190"/>
      <c r="L744" s="185">
        <v>27.17</v>
      </c>
      <c r="M744" s="368">
        <f>SUM(L744*D744)/1000</f>
        <v>0.6860425</v>
      </c>
    </row>
    <row r="745" spans="1:13" x14ac:dyDescent="0.25">
      <c r="A745" s="782"/>
      <c r="B745" s="107" t="s">
        <v>36</v>
      </c>
      <c r="C745" s="107"/>
      <c r="D745" s="107">
        <v>18</v>
      </c>
      <c r="E745" s="107">
        <v>18</v>
      </c>
      <c r="F745" s="107">
        <v>0.3</v>
      </c>
      <c r="G745" s="107">
        <v>0.11</v>
      </c>
      <c r="H745" s="107">
        <v>1E-3</v>
      </c>
      <c r="I745" s="107">
        <v>3.0000000000000001E-3</v>
      </c>
      <c r="J745" s="107">
        <v>0</v>
      </c>
      <c r="K745" s="190"/>
      <c r="L745" s="185">
        <v>4.6989999999999998</v>
      </c>
      <c r="M745" s="368">
        <f>SUM(L745*D745)/40</f>
        <v>2.1145499999999999</v>
      </c>
    </row>
    <row r="746" spans="1:13" x14ac:dyDescent="0.25">
      <c r="A746" s="782"/>
      <c r="B746" s="107" t="s">
        <v>32</v>
      </c>
      <c r="C746" s="107"/>
      <c r="D746" s="107">
        <v>7.25</v>
      </c>
      <c r="E746" s="107">
        <v>7.25</v>
      </c>
      <c r="F746" s="107">
        <v>0</v>
      </c>
      <c r="G746" s="107">
        <v>0</v>
      </c>
      <c r="H746" s="107">
        <v>0</v>
      </c>
      <c r="I746" s="107">
        <v>0</v>
      </c>
      <c r="J746" s="107">
        <v>0</v>
      </c>
      <c r="K746" s="190"/>
      <c r="L746" s="185">
        <v>43.22</v>
      </c>
      <c r="M746" s="368">
        <f t="shared" ref="M746:M748" si="26">SUM(L746*D746)/1000</f>
        <v>0.31334499999999998</v>
      </c>
    </row>
    <row r="747" spans="1:13" ht="30" x14ac:dyDescent="0.25">
      <c r="A747" s="782"/>
      <c r="B747" s="107" t="s">
        <v>383</v>
      </c>
      <c r="C747" s="107"/>
      <c r="D747" s="107">
        <v>0.2</v>
      </c>
      <c r="E747" s="107">
        <v>0.2</v>
      </c>
      <c r="F747" s="107">
        <v>0</v>
      </c>
      <c r="G747" s="107">
        <v>0.29899999999999999</v>
      </c>
      <c r="H747" s="107">
        <v>0</v>
      </c>
      <c r="I747" s="107">
        <v>2.69</v>
      </c>
      <c r="J747" s="107">
        <v>0</v>
      </c>
      <c r="K747" s="190"/>
      <c r="L747" s="185">
        <v>50.7</v>
      </c>
      <c r="M747" s="368">
        <f t="shared" si="26"/>
        <v>1.014E-2</v>
      </c>
    </row>
    <row r="748" spans="1:13" x14ac:dyDescent="0.25">
      <c r="A748" s="782"/>
      <c r="B748" s="107"/>
      <c r="C748" s="107"/>
      <c r="D748" s="107"/>
      <c r="E748" s="107"/>
      <c r="F748" s="206">
        <v>6.2309999999999999</v>
      </c>
      <c r="G748" s="206">
        <v>1.6419999999999999</v>
      </c>
      <c r="H748" s="206">
        <v>9.3949999999999996</v>
      </c>
      <c r="I748" s="206">
        <v>114.53100000000001</v>
      </c>
      <c r="J748" s="206">
        <v>7.6740000000000004</v>
      </c>
      <c r="K748" s="190"/>
      <c r="L748" s="185">
        <v>92.2</v>
      </c>
      <c r="M748" s="368">
        <f t="shared" si="26"/>
        <v>0</v>
      </c>
    </row>
    <row r="749" spans="1:13" x14ac:dyDescent="0.25">
      <c r="A749" s="781"/>
      <c r="B749" s="647" t="s">
        <v>72</v>
      </c>
      <c r="C749" s="105" t="s">
        <v>187</v>
      </c>
      <c r="D749" s="13"/>
      <c r="E749" s="13"/>
      <c r="F749" s="13"/>
      <c r="G749" s="13"/>
      <c r="H749" s="13"/>
      <c r="I749" s="13"/>
      <c r="J749" s="96"/>
      <c r="L749" s="65"/>
      <c r="M749" s="64">
        <f>SUM(L749*D749)/1000</f>
        <v>0</v>
      </c>
    </row>
    <row r="750" spans="1:13" x14ac:dyDescent="0.25">
      <c r="A750" s="782"/>
      <c r="B750" s="647" t="s">
        <v>184</v>
      </c>
      <c r="C750" s="124"/>
      <c r="D750" s="13">
        <v>30</v>
      </c>
      <c r="E750" s="13">
        <v>30</v>
      </c>
      <c r="F750" s="13"/>
      <c r="G750" s="13"/>
      <c r="H750" s="13"/>
      <c r="I750" s="13"/>
      <c r="J750" s="96"/>
      <c r="K750" s="125" t="s">
        <v>188</v>
      </c>
      <c r="L750" s="65"/>
      <c r="M750" s="68"/>
    </row>
    <row r="751" spans="1:13" x14ac:dyDescent="0.25">
      <c r="A751" s="782"/>
      <c r="B751" s="107" t="s">
        <v>120</v>
      </c>
      <c r="C751" s="124"/>
      <c r="D751" s="63">
        <v>32.4</v>
      </c>
      <c r="E751" s="63">
        <v>32.4</v>
      </c>
      <c r="F751" s="63">
        <v>0</v>
      </c>
      <c r="G751" s="63">
        <v>0</v>
      </c>
      <c r="H751" s="63">
        <v>0</v>
      </c>
      <c r="I751" s="63">
        <v>0</v>
      </c>
      <c r="J751" s="96">
        <v>0</v>
      </c>
      <c r="K751" s="125"/>
      <c r="L751" s="79"/>
      <c r="M751" s="68"/>
    </row>
    <row r="752" spans="1:13" x14ac:dyDescent="0.25">
      <c r="A752" s="782"/>
      <c r="B752" s="107" t="s">
        <v>185</v>
      </c>
      <c r="C752" s="107"/>
      <c r="D752" s="63">
        <v>0.3</v>
      </c>
      <c r="E752" s="63">
        <v>0.3</v>
      </c>
      <c r="F752" s="63">
        <v>0.06</v>
      </c>
      <c r="G752" s="63">
        <v>0</v>
      </c>
      <c r="H752" s="63">
        <v>2.07E-2</v>
      </c>
      <c r="I752" s="63">
        <v>0.45540000000000003</v>
      </c>
      <c r="J752" s="96">
        <v>0.03</v>
      </c>
      <c r="K752" s="126"/>
      <c r="L752" s="114">
        <v>0</v>
      </c>
      <c r="M752" s="68">
        <f>SUM(L752*D752)/1000</f>
        <v>0</v>
      </c>
    </row>
    <row r="753" spans="1:13" x14ac:dyDescent="0.25">
      <c r="A753" s="782"/>
      <c r="B753" s="107" t="s">
        <v>49</v>
      </c>
      <c r="C753" s="107"/>
      <c r="D753" s="63">
        <v>10</v>
      </c>
      <c r="E753" s="63">
        <v>10</v>
      </c>
      <c r="F753" s="63">
        <v>0</v>
      </c>
      <c r="G753" s="63">
        <v>0</v>
      </c>
      <c r="H753" s="63">
        <v>9.98</v>
      </c>
      <c r="I753" s="63">
        <v>37.9</v>
      </c>
      <c r="J753" s="96">
        <v>0</v>
      </c>
      <c r="K753" s="126"/>
      <c r="L753" s="114">
        <v>400</v>
      </c>
      <c r="M753" s="68">
        <f>SUM(L753*D753)/1000</f>
        <v>4</v>
      </c>
    </row>
    <row r="754" spans="1:13" x14ac:dyDescent="0.25">
      <c r="A754" s="782"/>
      <c r="B754" s="107" t="s">
        <v>19</v>
      </c>
      <c r="C754" s="107"/>
      <c r="D754" s="63">
        <v>150</v>
      </c>
      <c r="E754" s="63">
        <v>150</v>
      </c>
      <c r="F754" s="63">
        <v>0</v>
      </c>
      <c r="G754" s="63">
        <v>0</v>
      </c>
      <c r="H754" s="63">
        <v>0</v>
      </c>
      <c r="I754" s="63">
        <v>0</v>
      </c>
      <c r="J754" s="96">
        <v>0</v>
      </c>
      <c r="K754" s="126"/>
      <c r="L754" s="114">
        <v>50.7</v>
      </c>
      <c r="M754" s="68">
        <f>SUM(L754*D754)/1000</f>
        <v>7.6050000000000004</v>
      </c>
    </row>
    <row r="755" spans="1:13" x14ac:dyDescent="0.25">
      <c r="A755" s="782"/>
      <c r="B755" s="157"/>
      <c r="C755" s="157"/>
      <c r="D755" s="51"/>
      <c r="E755" s="51"/>
      <c r="F755" s="267">
        <f>SUM(F752:F754)</f>
        <v>0.06</v>
      </c>
      <c r="G755" s="267">
        <f>SUM(G752:G754)</f>
        <v>0</v>
      </c>
      <c r="H755" s="267">
        <f>SUM(H752:H754)</f>
        <v>10.0007</v>
      </c>
      <c r="I755" s="267">
        <f>SUM(I752:I754)</f>
        <v>38.355399999999996</v>
      </c>
      <c r="J755" s="268">
        <f>SUM(J752:J754)</f>
        <v>0.03</v>
      </c>
      <c r="K755" s="156"/>
      <c r="L755" s="114">
        <v>0</v>
      </c>
      <c r="M755" s="68">
        <f>SUM(L755*D755)/1000</f>
        <v>0</v>
      </c>
    </row>
    <row r="756" spans="1:13" x14ac:dyDescent="0.25">
      <c r="A756" s="782"/>
      <c r="B756" s="124" t="s">
        <v>46</v>
      </c>
      <c r="C756" s="124"/>
      <c r="D756" s="63"/>
      <c r="E756" s="63"/>
      <c r="F756" s="265">
        <f>F755+F748</f>
        <v>6.2909999999999995</v>
      </c>
      <c r="G756" s="265">
        <f>G755+G748</f>
        <v>1.6419999999999999</v>
      </c>
      <c r="H756" s="265">
        <f>H755+H748</f>
        <v>19.395699999999998</v>
      </c>
      <c r="I756" s="265">
        <f>I755+I748</f>
        <v>152.88640000000001</v>
      </c>
      <c r="J756" s="265">
        <f>J755+J748</f>
        <v>7.7040000000000006</v>
      </c>
      <c r="K756" s="158"/>
      <c r="L756" s="65"/>
      <c r="M756" s="72">
        <f>SUM(M753:M755)</f>
        <v>11.605</v>
      </c>
    </row>
    <row r="757" spans="1:13" x14ac:dyDescent="0.25">
      <c r="A757" s="783"/>
      <c r="B757" s="124"/>
      <c r="C757" s="124"/>
      <c r="D757" s="13"/>
      <c r="E757" s="13"/>
      <c r="F757" s="687"/>
      <c r="G757" s="687"/>
      <c r="H757" s="687"/>
      <c r="I757" s="687"/>
      <c r="J757" s="700"/>
      <c r="K757" s="234"/>
      <c r="L757" s="65"/>
      <c r="M757" s="265" t="e">
        <f>SUM(#REF!,M756)</f>
        <v>#REF!</v>
      </c>
    </row>
    <row r="758" spans="1:13" ht="25.5" x14ac:dyDescent="0.25">
      <c r="A758" s="535" t="s">
        <v>154</v>
      </c>
      <c r="B758" s="146"/>
      <c r="C758" s="146"/>
      <c r="D758" s="23"/>
      <c r="E758" s="23"/>
      <c r="F758" s="275">
        <f>F756+F732+F685</f>
        <v>45.814</v>
      </c>
      <c r="G758" s="275">
        <f>G756+G732+G685</f>
        <v>44.884999999999998</v>
      </c>
      <c r="H758" s="275">
        <f>H685+H732+H756</f>
        <v>225.66440000000003</v>
      </c>
      <c r="I758" s="275">
        <f>I685+I732+I756</f>
        <v>1479.3388000000002</v>
      </c>
      <c r="J758" s="275">
        <f>J685+J732+J756</f>
        <v>29.966000000000008</v>
      </c>
      <c r="K758" s="30"/>
      <c r="L758" s="74"/>
      <c r="M758" s="80" t="e">
        <f>SUM(M682,M732,M757)</f>
        <v>#REF!</v>
      </c>
    </row>
    <row r="759" spans="1:13" x14ac:dyDescent="0.25">
      <c r="A759" s="13" t="s">
        <v>155</v>
      </c>
      <c r="B759" s="13"/>
      <c r="C759" s="13"/>
      <c r="D759" s="51"/>
      <c r="E759" s="51"/>
      <c r="F759" s="183"/>
      <c r="G759" s="183"/>
      <c r="H759" s="183"/>
      <c r="I759" s="183"/>
      <c r="J759" s="184"/>
      <c r="K759" s="236"/>
      <c r="L759" s="65"/>
      <c r="M759" s="64"/>
    </row>
    <row r="760" spans="1:13" x14ac:dyDescent="0.25">
      <c r="A760" s="5" t="s">
        <v>140</v>
      </c>
      <c r="B760" s="13"/>
      <c r="C760" s="4"/>
      <c r="D760" s="105"/>
      <c r="E760" s="106"/>
      <c r="F760" s="183"/>
      <c r="G760" s="183"/>
      <c r="H760" s="183"/>
      <c r="I760" s="183"/>
      <c r="J760" s="184"/>
      <c r="K760" s="236"/>
      <c r="L760" s="65"/>
      <c r="M760" s="64"/>
    </row>
    <row r="761" spans="1:13" ht="28.5" x14ac:dyDescent="0.25">
      <c r="A761" s="781"/>
      <c r="B761" s="124" t="s">
        <v>405</v>
      </c>
      <c r="C761" s="124">
        <v>166</v>
      </c>
      <c r="D761" s="107"/>
      <c r="E761" s="107"/>
      <c r="F761" s="178"/>
      <c r="G761" s="178"/>
      <c r="H761" s="178"/>
      <c r="I761" s="178"/>
      <c r="J761" s="178"/>
      <c r="K761" s="107" t="s">
        <v>407</v>
      </c>
      <c r="L761" s="65"/>
      <c r="M761" s="64"/>
    </row>
    <row r="762" spans="1:13" x14ac:dyDescent="0.25">
      <c r="A762" s="782"/>
      <c r="B762" s="107" t="s">
        <v>406</v>
      </c>
      <c r="C762" s="107"/>
      <c r="D762" s="107">
        <v>33</v>
      </c>
      <c r="E762" s="107">
        <v>33</v>
      </c>
      <c r="F762" s="107">
        <v>7.68</v>
      </c>
      <c r="G762" s="107">
        <v>13.15</v>
      </c>
      <c r="H762" s="107">
        <v>32.770000000000003</v>
      </c>
      <c r="I762" s="107">
        <v>281</v>
      </c>
      <c r="J762" s="107">
        <v>0</v>
      </c>
      <c r="K762" s="107"/>
      <c r="L762" s="114"/>
      <c r="M762" s="68"/>
    </row>
    <row r="763" spans="1:13" x14ac:dyDescent="0.25">
      <c r="A763" s="782"/>
      <c r="B763" s="107" t="s">
        <v>228</v>
      </c>
      <c r="C763" s="107"/>
      <c r="D763" s="107">
        <v>75</v>
      </c>
      <c r="E763" s="107">
        <v>75</v>
      </c>
      <c r="F763" s="107">
        <f>2.8*E763/100</f>
        <v>2.1</v>
      </c>
      <c r="G763" s="107">
        <f>3.2*E763/100</f>
        <v>2.4</v>
      </c>
      <c r="H763" s="107">
        <f>4.7*E763/100</f>
        <v>3.5249999999999999</v>
      </c>
      <c r="I763" s="107">
        <f>58*E763/100</f>
        <v>43.5</v>
      </c>
      <c r="J763" s="107">
        <f>1.3*E763/100</f>
        <v>0.97499999999999998</v>
      </c>
      <c r="K763" s="107"/>
      <c r="L763" s="114"/>
      <c r="M763" s="68"/>
    </row>
    <row r="764" spans="1:13" x14ac:dyDescent="0.25">
      <c r="A764" s="782"/>
      <c r="B764" s="701" t="s">
        <v>20</v>
      </c>
      <c r="C764" s="107"/>
      <c r="D764" s="107">
        <v>4.5</v>
      </c>
      <c r="E764" s="107">
        <v>4.5</v>
      </c>
      <c r="F764" s="107">
        <f>2.8*E764/100</f>
        <v>0.126</v>
      </c>
      <c r="G764" s="107">
        <f>3.2*E764/100</f>
        <v>0.14400000000000002</v>
      </c>
      <c r="H764" s="107">
        <f>4.7*E764/100</f>
        <v>0.21150000000000002</v>
      </c>
      <c r="I764" s="107">
        <f>58*E764/100</f>
        <v>2.61</v>
      </c>
      <c r="J764" s="107">
        <v>0</v>
      </c>
      <c r="K764" s="702"/>
      <c r="L764" s="114"/>
      <c r="M764" s="68"/>
    </row>
    <row r="765" spans="1:13" x14ac:dyDescent="0.25">
      <c r="A765" s="782"/>
      <c r="B765" s="701" t="s">
        <v>392</v>
      </c>
      <c r="C765" s="107"/>
      <c r="D765" s="107">
        <v>0.75</v>
      </c>
      <c r="E765" s="107">
        <v>0.75</v>
      </c>
      <c r="F765" s="107">
        <f>2.8*E765/100</f>
        <v>2.0999999999999998E-2</v>
      </c>
      <c r="G765" s="107">
        <f>3.2*E765/100</f>
        <v>2.4000000000000004E-2</v>
      </c>
      <c r="H765" s="107">
        <f>4.7*E765/100</f>
        <v>3.5250000000000004E-2</v>
      </c>
      <c r="I765" s="107">
        <f>58*E765/100</f>
        <v>0.435</v>
      </c>
      <c r="J765" s="107">
        <v>0</v>
      </c>
      <c r="K765" s="702"/>
      <c r="L765" s="114"/>
      <c r="M765" s="68"/>
    </row>
    <row r="766" spans="1:13" x14ac:dyDescent="0.25">
      <c r="A766" s="782"/>
      <c r="B766" s="701"/>
      <c r="C766" s="107"/>
      <c r="D766" s="107"/>
      <c r="E766" s="107"/>
      <c r="F766" s="206">
        <f>SUM(F762:F765)</f>
        <v>9.9269999999999996</v>
      </c>
      <c r="G766" s="278">
        <f>SUM(G762:G765)</f>
        <v>15.718</v>
      </c>
      <c r="H766" s="278">
        <f>SUM(H762:H765)</f>
        <v>36.54175</v>
      </c>
      <c r="I766" s="738">
        <f>SUM(I762:I765)</f>
        <v>327.54500000000002</v>
      </c>
      <c r="J766" s="206">
        <f>SUM(J762:J765)</f>
        <v>0.97499999999999998</v>
      </c>
      <c r="K766" s="702"/>
      <c r="L766" s="114"/>
      <c r="M766" s="68"/>
    </row>
    <row r="767" spans="1:13" x14ac:dyDescent="0.25">
      <c r="A767" s="782"/>
      <c r="B767" s="362" t="s">
        <v>45</v>
      </c>
      <c r="C767" s="703">
        <v>30</v>
      </c>
      <c r="D767" s="704">
        <v>30</v>
      </c>
      <c r="E767" s="506">
        <v>30</v>
      </c>
      <c r="F767" s="679">
        <v>3.4</v>
      </c>
      <c r="G767" s="679">
        <v>6.3</v>
      </c>
      <c r="H767" s="679">
        <v>32.799999999999997</v>
      </c>
      <c r="I767" s="679">
        <v>229.5</v>
      </c>
      <c r="J767" s="705">
        <v>0.13</v>
      </c>
      <c r="K767" s="483" t="s">
        <v>73</v>
      </c>
      <c r="L767" s="114"/>
      <c r="M767" s="68"/>
    </row>
    <row r="768" spans="1:13" x14ac:dyDescent="0.25">
      <c r="A768" s="782"/>
      <c r="B768" s="338" t="s">
        <v>56</v>
      </c>
      <c r="C768" s="504">
        <v>180</v>
      </c>
      <c r="D768" s="505"/>
      <c r="E768" s="505"/>
      <c r="F768" s="506"/>
      <c r="G768" s="506"/>
      <c r="H768" s="506"/>
      <c r="I768" s="506"/>
      <c r="J768" s="506"/>
      <c r="K768" s="507" t="s">
        <v>249</v>
      </c>
      <c r="L768" s="65"/>
      <c r="M768" s="68"/>
    </row>
    <row r="769" spans="1:13" x14ac:dyDescent="0.25">
      <c r="A769" s="782"/>
      <c r="B769" s="342" t="s">
        <v>250</v>
      </c>
      <c r="C769" s="343"/>
      <c r="D769" s="340">
        <v>3</v>
      </c>
      <c r="E769" s="340">
        <v>3</v>
      </c>
      <c r="F769" s="340">
        <f>15*E769/100</f>
        <v>0.45</v>
      </c>
      <c r="G769" s="340">
        <f>3.6*E769/100</f>
        <v>0.10800000000000001</v>
      </c>
      <c r="H769" s="340">
        <f>7*E769/100</f>
        <v>0.21</v>
      </c>
      <c r="I769" s="345">
        <f>118.7*E769/100</f>
        <v>3.5610000000000004</v>
      </c>
      <c r="J769" s="346">
        <v>0</v>
      </c>
      <c r="K769" s="480"/>
      <c r="L769" s="88"/>
      <c r="M769" s="68"/>
    </row>
    <row r="770" spans="1:13" x14ac:dyDescent="0.25">
      <c r="A770" s="782"/>
      <c r="B770" s="342" t="s">
        <v>229</v>
      </c>
      <c r="C770" s="343"/>
      <c r="D770" s="340">
        <v>108</v>
      </c>
      <c r="E770" s="340">
        <v>108</v>
      </c>
      <c r="F770" s="340">
        <v>0</v>
      </c>
      <c r="G770" s="340">
        <v>0</v>
      </c>
      <c r="H770" s="340">
        <v>0</v>
      </c>
      <c r="I770" s="345">
        <v>0</v>
      </c>
      <c r="J770" s="346">
        <v>0</v>
      </c>
      <c r="K770" s="480"/>
      <c r="L770" s="88"/>
      <c r="M770" s="68"/>
    </row>
    <row r="771" spans="1:13" x14ac:dyDescent="0.25">
      <c r="A771" s="782"/>
      <c r="B771" s="342" t="s">
        <v>230</v>
      </c>
      <c r="C771" s="343"/>
      <c r="D771" s="340">
        <v>10</v>
      </c>
      <c r="E771" s="340">
        <v>10</v>
      </c>
      <c r="F771" s="340">
        <v>0</v>
      </c>
      <c r="G771" s="340">
        <v>0</v>
      </c>
      <c r="H771" s="340">
        <f>99.8*E771/100</f>
        <v>9.98</v>
      </c>
      <c r="I771" s="345">
        <f>379*E771/100</f>
        <v>37.9</v>
      </c>
      <c r="J771" s="346">
        <v>0</v>
      </c>
      <c r="K771" s="480"/>
      <c r="L771" s="114"/>
      <c r="M771" s="68"/>
    </row>
    <row r="772" spans="1:13" x14ac:dyDescent="0.25">
      <c r="A772" s="782"/>
      <c r="B772" s="342" t="s">
        <v>228</v>
      </c>
      <c r="C772" s="343"/>
      <c r="D772" s="340">
        <v>90</v>
      </c>
      <c r="E772" s="340">
        <v>90</v>
      </c>
      <c r="F772" s="340">
        <v>2.8</v>
      </c>
      <c r="G772" s="340">
        <v>3.2</v>
      </c>
      <c r="H772" s="340">
        <v>4.7</v>
      </c>
      <c r="I772" s="345">
        <v>58</v>
      </c>
      <c r="J772" s="346">
        <v>1.3</v>
      </c>
      <c r="K772" s="480"/>
      <c r="L772" s="114"/>
      <c r="M772" s="68"/>
    </row>
    <row r="773" spans="1:13" x14ac:dyDescent="0.25">
      <c r="A773" s="782"/>
      <c r="B773" s="678"/>
      <c r="C773" s="254"/>
      <c r="D773" s="187"/>
      <c r="E773" s="187"/>
      <c r="F773" s="130">
        <f>SUM(F769:F772)</f>
        <v>3.25</v>
      </c>
      <c r="G773" s="130">
        <f>SUM(G769:G772)</f>
        <v>3.3080000000000003</v>
      </c>
      <c r="H773" s="130">
        <f>SUM(H769:H772)</f>
        <v>14.89</v>
      </c>
      <c r="I773" s="130">
        <f>SUM(I769:I772)</f>
        <v>99.460999999999999</v>
      </c>
      <c r="J773" s="131">
        <f>SUM(J769:J772)</f>
        <v>1.3</v>
      </c>
      <c r="K773" s="158"/>
      <c r="L773" s="114"/>
      <c r="M773" s="68"/>
    </row>
    <row r="774" spans="1:13" x14ac:dyDescent="0.25">
      <c r="A774" s="782"/>
      <c r="B774" s="107"/>
      <c r="C774" s="107"/>
      <c r="D774" s="107"/>
      <c r="E774" s="107"/>
      <c r="F774" s="107"/>
      <c r="G774" s="107"/>
      <c r="H774" s="107"/>
      <c r="I774" s="107"/>
      <c r="J774" s="107"/>
      <c r="K774" s="107"/>
      <c r="L774" s="185"/>
      <c r="M774" s="72"/>
    </row>
    <row r="775" spans="1:13" x14ac:dyDescent="0.25">
      <c r="A775" s="782"/>
      <c r="B775" s="107"/>
      <c r="C775" s="107"/>
      <c r="D775" s="107"/>
      <c r="E775" s="107"/>
      <c r="F775" s="206">
        <f>SUM(F771:F774)</f>
        <v>6.05</v>
      </c>
      <c r="G775" s="206">
        <f>SUM(G771:G774)</f>
        <v>6.5080000000000009</v>
      </c>
      <c r="H775" s="206">
        <f>SUM(H771:H774)</f>
        <v>29.57</v>
      </c>
      <c r="I775" s="206">
        <f>SUM(I771:I774)</f>
        <v>195.36099999999999</v>
      </c>
      <c r="J775" s="206">
        <f>SUM(J771:J774)</f>
        <v>2.6</v>
      </c>
      <c r="K775" s="107"/>
      <c r="L775" s="79"/>
      <c r="M775" s="315"/>
    </row>
    <row r="776" spans="1:13" x14ac:dyDescent="0.25">
      <c r="A776" s="782"/>
      <c r="B776" s="124" t="s">
        <v>377</v>
      </c>
      <c r="C776" s="107">
        <v>80</v>
      </c>
      <c r="D776" s="107">
        <v>80</v>
      </c>
      <c r="E776" s="107">
        <v>80</v>
      </c>
      <c r="F776" s="124">
        <v>0</v>
      </c>
      <c r="G776" s="124">
        <v>0</v>
      </c>
      <c r="H776" s="124">
        <f>10.7*E776/100</f>
        <v>8.56</v>
      </c>
      <c r="I776" s="124">
        <f>43*E776/100</f>
        <v>34.4</v>
      </c>
      <c r="J776" s="124">
        <f>25*E776/100</f>
        <v>20</v>
      </c>
      <c r="K776" s="107" t="s">
        <v>73</v>
      </c>
      <c r="L776" s="65"/>
      <c r="M776" s="64"/>
    </row>
    <row r="777" spans="1:13" x14ac:dyDescent="0.25">
      <c r="A777" s="782"/>
      <c r="B777" s="107" t="s">
        <v>26</v>
      </c>
      <c r="C777" s="107"/>
      <c r="D777" s="107"/>
      <c r="E777" s="107"/>
      <c r="F777" s="107">
        <f>F761+F774+F775+F776</f>
        <v>6.05</v>
      </c>
      <c r="G777" s="107">
        <f>G761+G774+G775+G776</f>
        <v>6.5080000000000009</v>
      </c>
      <c r="H777" s="107">
        <f>H761+H774+H775+H776</f>
        <v>38.130000000000003</v>
      </c>
      <c r="I777" s="107">
        <f>I761+I774+I775+I776</f>
        <v>229.761</v>
      </c>
      <c r="J777" s="107">
        <f>J761+J774+J775+J776</f>
        <v>22.6</v>
      </c>
      <c r="K777" s="107"/>
      <c r="L777" s="114">
        <v>375</v>
      </c>
      <c r="M777" s="68">
        <f>SUM(L777*D777)/1000</f>
        <v>0</v>
      </c>
    </row>
    <row r="778" spans="1:13" x14ac:dyDescent="0.25">
      <c r="A778" s="783"/>
      <c r="B778" s="107"/>
      <c r="C778" s="107"/>
      <c r="D778" s="107"/>
      <c r="E778" s="107"/>
      <c r="F778" s="107">
        <f>SUM(F776:F777)</f>
        <v>6.05</v>
      </c>
      <c r="G778" s="107">
        <f>SUM(G776:G777)</f>
        <v>6.5080000000000009</v>
      </c>
      <c r="H778" s="107">
        <f>SUM(H776:H777)</f>
        <v>46.690000000000005</v>
      </c>
      <c r="I778" s="107">
        <f>SUM(I776:I777)</f>
        <v>264.161</v>
      </c>
      <c r="J778" s="107">
        <f>SUM(J776:J777)</f>
        <v>42.6</v>
      </c>
      <c r="K778" s="107"/>
      <c r="L778" s="65"/>
      <c r="M778" s="72">
        <f>SUM(M776:M777)</f>
        <v>0</v>
      </c>
    </row>
    <row r="779" spans="1:13" ht="15" hidden="1" customHeight="1" x14ac:dyDescent="0.25">
      <c r="A779" s="782"/>
      <c r="B779" s="124"/>
      <c r="C779" s="124"/>
      <c r="D779" s="63"/>
      <c r="E779" s="63"/>
      <c r="F779" s="130"/>
      <c r="G779" s="130"/>
      <c r="H779" s="130"/>
      <c r="I779" s="130"/>
      <c r="J779" s="131"/>
      <c r="K779" s="162"/>
      <c r="L779" s="65"/>
      <c r="M779" s="66"/>
    </row>
    <row r="780" spans="1:13" x14ac:dyDescent="0.25">
      <c r="A780" s="783"/>
      <c r="B780" s="124" t="s">
        <v>57</v>
      </c>
      <c r="C780" s="124"/>
      <c r="D780" s="63"/>
      <c r="E780" s="63"/>
      <c r="F780" s="142">
        <f>F766+F767+F775</f>
        <v>19.376999999999999</v>
      </c>
      <c r="G780" s="142">
        <f>G766+G767+G775</f>
        <v>28.526000000000003</v>
      </c>
      <c r="H780" s="142">
        <f>H766+H767+H775</f>
        <v>98.911749999999984</v>
      </c>
      <c r="I780" s="142">
        <f>I766+I767+I775</f>
        <v>752.40600000000006</v>
      </c>
      <c r="J780" s="142">
        <f>J766+J767+J775</f>
        <v>3.7050000000000001</v>
      </c>
      <c r="K780" s="251"/>
      <c r="L780" s="237"/>
      <c r="M780" s="252"/>
    </row>
    <row r="781" spans="1:13" x14ac:dyDescent="0.25">
      <c r="A781" s="5" t="s">
        <v>58</v>
      </c>
      <c r="B781" s="13"/>
      <c r="C781" s="13"/>
      <c r="D781" s="105"/>
      <c r="E781" s="106"/>
      <c r="F781" s="51"/>
      <c r="G781" s="51"/>
      <c r="H781" s="51"/>
      <c r="I781" s="51"/>
      <c r="J781" s="53"/>
      <c r="K781" s="125"/>
      <c r="L781" s="65"/>
      <c r="M781" s="64"/>
    </row>
    <row r="782" spans="1:13" ht="30" x14ac:dyDescent="0.25">
      <c r="A782" s="781"/>
      <c r="B782" s="659" t="s">
        <v>217</v>
      </c>
      <c r="C782" s="140">
        <v>200</v>
      </c>
      <c r="D782" s="154"/>
      <c r="E782" s="154"/>
      <c r="F782" s="13"/>
      <c r="G782" s="13"/>
      <c r="H782" s="13"/>
      <c r="I782" s="13"/>
      <c r="J782" s="96"/>
      <c r="K782" s="125" t="s">
        <v>134</v>
      </c>
      <c r="L782" s="65"/>
      <c r="M782" s="64"/>
    </row>
    <row r="783" spans="1:13" x14ac:dyDescent="0.25">
      <c r="A783" s="782"/>
      <c r="B783" s="96" t="s">
        <v>36</v>
      </c>
      <c r="C783" s="96"/>
      <c r="D783" s="98">
        <v>53.4</v>
      </c>
      <c r="E783" s="98">
        <v>40</v>
      </c>
      <c r="F783" s="102">
        <v>0.8</v>
      </c>
      <c r="G783" s="63">
        <v>0.16</v>
      </c>
      <c r="H783" s="63">
        <v>6.52</v>
      </c>
      <c r="I783" s="63">
        <v>30.8</v>
      </c>
      <c r="J783" s="96">
        <v>8</v>
      </c>
      <c r="K783" s="152"/>
      <c r="L783" s="135">
        <v>21.89</v>
      </c>
      <c r="M783" s="68">
        <f>SUM(L783*D853)/1000</f>
        <v>1.1689259999999999</v>
      </c>
    </row>
    <row r="784" spans="1:13" x14ac:dyDescent="0.25">
      <c r="A784" s="782"/>
      <c r="B784" s="96" t="s">
        <v>135</v>
      </c>
      <c r="C784" s="96"/>
      <c r="D784" s="98">
        <v>16.2</v>
      </c>
      <c r="E784" s="98">
        <v>16</v>
      </c>
      <c r="F784" s="102">
        <v>3.68</v>
      </c>
      <c r="G784" s="63">
        <v>0.25600000000000001</v>
      </c>
      <c r="H784" s="63">
        <v>8.1280000000000001</v>
      </c>
      <c r="I784" s="63">
        <v>50.24</v>
      </c>
      <c r="J784" s="96">
        <v>0</v>
      </c>
      <c r="K784" s="152"/>
      <c r="L784" s="114">
        <v>38.5</v>
      </c>
      <c r="M784" s="68">
        <f>SUM(L784*D854)/1000</f>
        <v>0.38500000000000001</v>
      </c>
    </row>
    <row r="785" spans="1:13" x14ac:dyDescent="0.25">
      <c r="A785" s="782"/>
      <c r="B785" s="96" t="s">
        <v>32</v>
      </c>
      <c r="C785" s="96"/>
      <c r="D785" s="98">
        <v>10</v>
      </c>
      <c r="E785" s="98">
        <v>8</v>
      </c>
      <c r="F785" s="102">
        <v>0.112</v>
      </c>
      <c r="G785" s="63">
        <v>1.6E-2</v>
      </c>
      <c r="H785" s="63">
        <v>0.65600000000000003</v>
      </c>
      <c r="I785" s="63">
        <v>3.28</v>
      </c>
      <c r="J785" s="96">
        <v>0.8</v>
      </c>
      <c r="K785" s="152"/>
      <c r="L785" s="114">
        <v>21.98</v>
      </c>
      <c r="M785" s="68">
        <f>SUM(L785*D855)/1000</f>
        <v>0.211008</v>
      </c>
    </row>
    <row r="786" spans="1:13" x14ac:dyDescent="0.25">
      <c r="A786" s="782"/>
      <c r="B786" s="96" t="s">
        <v>59</v>
      </c>
      <c r="C786" s="96"/>
      <c r="D786" s="98">
        <v>12.6</v>
      </c>
      <c r="E786" s="98">
        <v>10</v>
      </c>
      <c r="F786" s="102">
        <v>0.13</v>
      </c>
      <c r="G786" s="63">
        <v>0.01</v>
      </c>
      <c r="H786" s="63">
        <v>0.69</v>
      </c>
      <c r="I786" s="63">
        <v>3.5</v>
      </c>
      <c r="J786" s="96">
        <v>0.5</v>
      </c>
      <c r="K786" s="152"/>
      <c r="L786" s="114">
        <v>92.2</v>
      </c>
      <c r="M786" s="68">
        <f>SUM(L786*D856)/1000</f>
        <v>0.18440000000000001</v>
      </c>
    </row>
    <row r="787" spans="1:13" x14ac:dyDescent="0.25">
      <c r="A787" s="782"/>
      <c r="B787" s="96" t="s">
        <v>37</v>
      </c>
      <c r="C787" s="96"/>
      <c r="D787" s="98">
        <v>4</v>
      </c>
      <c r="E787" s="98">
        <v>4</v>
      </c>
      <c r="F787" s="102">
        <v>0</v>
      </c>
      <c r="G787" s="63">
        <v>3.996</v>
      </c>
      <c r="H787" s="63">
        <v>0</v>
      </c>
      <c r="I787" s="63">
        <v>35.96</v>
      </c>
      <c r="J787" s="96">
        <v>0</v>
      </c>
      <c r="K787" s="152"/>
      <c r="L787" s="114">
        <v>0</v>
      </c>
      <c r="M787" s="68"/>
    </row>
    <row r="788" spans="1:13" x14ac:dyDescent="0.25">
      <c r="A788" s="782"/>
      <c r="B788" s="96" t="s">
        <v>112</v>
      </c>
      <c r="C788" s="96"/>
      <c r="D788" s="98">
        <v>1.2</v>
      </c>
      <c r="E788" s="98">
        <v>1.2</v>
      </c>
      <c r="F788" s="102">
        <v>0</v>
      </c>
      <c r="G788" s="63">
        <v>0</v>
      </c>
      <c r="H788" s="63">
        <v>0</v>
      </c>
      <c r="I788" s="63">
        <v>0</v>
      </c>
      <c r="J788" s="96">
        <v>0</v>
      </c>
      <c r="K788" s="152"/>
      <c r="L788" s="114">
        <v>27.17</v>
      </c>
      <c r="M788" s="68">
        <f>SUM(L788*D858)/1000</f>
        <v>0.43472000000000005</v>
      </c>
    </row>
    <row r="789" spans="1:13" x14ac:dyDescent="0.25">
      <c r="A789" s="782"/>
      <c r="B789" s="96" t="s">
        <v>19</v>
      </c>
      <c r="C789" s="96"/>
      <c r="D789" s="98">
        <v>16</v>
      </c>
      <c r="E789" s="98">
        <v>16</v>
      </c>
      <c r="F789" s="102">
        <v>0</v>
      </c>
      <c r="G789" s="63">
        <v>0</v>
      </c>
      <c r="H789" s="63">
        <v>0</v>
      </c>
      <c r="I789" s="63">
        <v>0</v>
      </c>
      <c r="J789" s="96">
        <v>0</v>
      </c>
      <c r="K789" s="126"/>
      <c r="L789" s="114">
        <v>4.6989999999999998</v>
      </c>
      <c r="M789" s="68">
        <f>SUM(L789*D860)/40</f>
        <v>0.52863749999999998</v>
      </c>
    </row>
    <row r="790" spans="1:13" x14ac:dyDescent="0.25">
      <c r="A790" s="782"/>
      <c r="B790" s="124"/>
      <c r="C790" s="107"/>
      <c r="D790" s="98"/>
      <c r="E790" s="98"/>
      <c r="F790" s="118">
        <f>SUM(F783:F789)</f>
        <v>4.7220000000000004</v>
      </c>
      <c r="G790" s="118">
        <f>SUM(G783:G789)</f>
        <v>4.4379999999999997</v>
      </c>
      <c r="H790" s="118">
        <f>SUM(H783:H789)</f>
        <v>15.994</v>
      </c>
      <c r="I790" s="118">
        <f>SUM(I783:I789)</f>
        <v>123.78</v>
      </c>
      <c r="J790" s="206">
        <f>SUM(J783:J789)</f>
        <v>9.3000000000000007</v>
      </c>
      <c r="K790" s="126"/>
      <c r="L790" s="114">
        <v>43.22</v>
      </c>
      <c r="M790" s="68">
        <f>SUM(L790*D861)/1000</f>
        <v>1.0848220000000002</v>
      </c>
    </row>
    <row r="791" spans="1:13" x14ac:dyDescent="0.25">
      <c r="A791" s="782"/>
      <c r="B791" s="280" t="s">
        <v>411</v>
      </c>
      <c r="C791" s="635">
        <v>80</v>
      </c>
      <c r="D791" s="64"/>
      <c r="E791" s="64"/>
      <c r="F791" s="64"/>
      <c r="G791" s="64"/>
      <c r="H791" s="64"/>
      <c r="I791" s="64"/>
      <c r="J791" s="64"/>
      <c r="K791" s="64" t="s">
        <v>431</v>
      </c>
      <c r="L791" s="114">
        <v>230</v>
      </c>
      <c r="M791" s="68">
        <f>SUM(L791*D867)/1000</f>
        <v>21.321000000000002</v>
      </c>
    </row>
    <row r="792" spans="1:13" x14ac:dyDescent="0.25">
      <c r="A792" s="782"/>
      <c r="B792" s="64" t="s">
        <v>390</v>
      </c>
      <c r="C792" s="64"/>
      <c r="D792" s="636">
        <v>51</v>
      </c>
      <c r="E792" s="636">
        <v>51</v>
      </c>
      <c r="F792" s="63">
        <v>6.99</v>
      </c>
      <c r="G792" s="63">
        <v>6.0190000000000001</v>
      </c>
      <c r="H792" s="63">
        <v>0</v>
      </c>
      <c r="I792" s="63">
        <v>82.16</v>
      </c>
      <c r="J792" s="231">
        <v>0</v>
      </c>
      <c r="K792" s="64"/>
      <c r="L792" s="114">
        <v>21.98</v>
      </c>
      <c r="M792" s="68">
        <f>SUM(L792*D868)/1000</f>
        <v>0.19122600000000001</v>
      </c>
    </row>
    <row r="793" spans="1:13" x14ac:dyDescent="0.25">
      <c r="A793" s="782"/>
      <c r="B793" s="64" t="s">
        <v>40</v>
      </c>
      <c r="C793" s="65"/>
      <c r="D793" s="636">
        <v>11</v>
      </c>
      <c r="E793" s="636">
        <v>11</v>
      </c>
      <c r="F793" s="637">
        <f>7*E793/100</f>
        <v>0.77</v>
      </c>
      <c r="G793" s="637">
        <f>1*E793/100</f>
        <v>0.11</v>
      </c>
      <c r="H793" s="637">
        <f>71.4*E793/100</f>
        <v>7.854000000000001</v>
      </c>
      <c r="I793" s="638">
        <f>330*E793/100</f>
        <v>36.299999999999997</v>
      </c>
      <c r="J793" s="639">
        <v>0</v>
      </c>
      <c r="K793" s="64"/>
      <c r="L793" s="114">
        <v>43.22</v>
      </c>
      <c r="M793" s="68">
        <f>SUM(L793*D869)/1000</f>
        <v>0.56618199999999996</v>
      </c>
    </row>
    <row r="794" spans="1:13" x14ac:dyDescent="0.25">
      <c r="A794" s="782"/>
      <c r="B794" s="64" t="s">
        <v>392</v>
      </c>
      <c r="C794" s="64"/>
      <c r="D794" s="636">
        <v>1.2</v>
      </c>
      <c r="E794" s="636">
        <v>1.2</v>
      </c>
      <c r="F794" s="63">
        <v>0</v>
      </c>
      <c r="G794" s="63">
        <v>0</v>
      </c>
      <c r="H794" s="63">
        <v>0</v>
      </c>
      <c r="I794" s="63">
        <v>0</v>
      </c>
      <c r="J794" s="231">
        <v>0</v>
      </c>
      <c r="K794" s="64"/>
      <c r="L794" s="114">
        <v>4.6989999999999998</v>
      </c>
      <c r="M794" s="68">
        <f>SUM(L794*D870)/40</f>
        <v>0.64611249999999998</v>
      </c>
    </row>
    <row r="795" spans="1:13" x14ac:dyDescent="0.25">
      <c r="A795" s="782"/>
      <c r="B795" s="64" t="s">
        <v>239</v>
      </c>
      <c r="C795" s="64"/>
      <c r="D795" s="636">
        <v>19</v>
      </c>
      <c r="E795" s="636">
        <v>16</v>
      </c>
      <c r="F795" s="63">
        <v>0.4</v>
      </c>
      <c r="G795" s="63">
        <v>0.05</v>
      </c>
      <c r="H795" s="63">
        <v>2.36</v>
      </c>
      <c r="I795" s="63">
        <v>11.8</v>
      </c>
      <c r="J795" s="231">
        <v>2.88</v>
      </c>
      <c r="K795" s="64"/>
      <c r="L795" s="185">
        <v>60.5</v>
      </c>
      <c r="M795" s="68">
        <f>SUM(L795*D871)/1000</f>
        <v>0.13310000000000002</v>
      </c>
    </row>
    <row r="796" spans="1:13" x14ac:dyDescent="0.25">
      <c r="A796" s="782"/>
      <c r="B796" s="64" t="s">
        <v>288</v>
      </c>
      <c r="C796" s="64"/>
      <c r="D796" s="636">
        <v>3</v>
      </c>
      <c r="E796" s="636">
        <v>3</v>
      </c>
      <c r="F796" s="772">
        <v>0</v>
      </c>
      <c r="G796" s="773">
        <v>0.29899999999999999</v>
      </c>
      <c r="H796" s="774">
        <v>0</v>
      </c>
      <c r="I796" s="502">
        <v>2.69</v>
      </c>
      <c r="J796" s="775">
        <v>0</v>
      </c>
      <c r="K796" s="64"/>
      <c r="L796" s="185">
        <v>92.2</v>
      </c>
      <c r="M796" s="68">
        <f>SUM(L796*D872)/1000</f>
        <v>0.12907999999999997</v>
      </c>
    </row>
    <row r="797" spans="1:13" x14ac:dyDescent="0.25">
      <c r="A797" s="782"/>
      <c r="B797" s="64"/>
      <c r="C797" s="64"/>
      <c r="D797" s="636"/>
      <c r="E797" s="636"/>
      <c r="F797" s="698">
        <f>SUM(F792:F796)</f>
        <v>8.16</v>
      </c>
      <c r="G797" s="771">
        <f>SUM(G792:G796)</f>
        <v>6.4780000000000006</v>
      </c>
      <c r="H797" s="698">
        <f>SUM(H792:H796)</f>
        <v>10.214</v>
      </c>
      <c r="I797" s="698">
        <f>SUM(I792:I796)</f>
        <v>132.94999999999999</v>
      </c>
      <c r="J797" s="771">
        <f>SUM(J792:J796)</f>
        <v>2.88</v>
      </c>
      <c r="K797" s="64"/>
      <c r="L797" s="185"/>
      <c r="M797" s="68"/>
    </row>
    <row r="798" spans="1:13" x14ac:dyDescent="0.25">
      <c r="A798" s="782"/>
      <c r="B798" s="647" t="s">
        <v>424</v>
      </c>
      <c r="C798" s="124">
        <v>30</v>
      </c>
      <c r="D798" s="13"/>
      <c r="E798" s="13"/>
      <c r="F798" s="63">
        <v>0.3</v>
      </c>
      <c r="G798" s="63">
        <v>1</v>
      </c>
      <c r="H798" s="63">
        <v>1.17</v>
      </c>
      <c r="I798" s="63">
        <v>14.82</v>
      </c>
      <c r="J798" s="96">
        <v>0</v>
      </c>
      <c r="K798" s="155" t="s">
        <v>423</v>
      </c>
      <c r="L798" s="65"/>
      <c r="M798" s="64"/>
    </row>
    <row r="799" spans="1:13" x14ac:dyDescent="0.25">
      <c r="A799" s="782"/>
      <c r="B799" s="107" t="s">
        <v>62</v>
      </c>
      <c r="C799" s="107"/>
      <c r="D799" s="63">
        <v>7.5</v>
      </c>
      <c r="E799" s="63">
        <v>7.5</v>
      </c>
      <c r="F799" s="63">
        <v>0.2</v>
      </c>
      <c r="G799" s="63">
        <v>1.1000000000000001</v>
      </c>
      <c r="H799" s="63">
        <v>0.3</v>
      </c>
      <c r="I799" s="63">
        <v>11.9</v>
      </c>
      <c r="J799" s="96"/>
      <c r="K799" s="152"/>
      <c r="L799" s="114">
        <v>31</v>
      </c>
      <c r="M799" s="68" t="e">
        <f>SUM(L799*#REF!)/1000</f>
        <v>#REF!</v>
      </c>
    </row>
    <row r="800" spans="1:13" x14ac:dyDescent="0.25">
      <c r="A800" s="782"/>
      <c r="B800" s="107" t="s">
        <v>291</v>
      </c>
      <c r="C800" s="107"/>
      <c r="D800" s="63">
        <v>2.2999999999999998</v>
      </c>
      <c r="E800" s="63">
        <v>2.2999999999999998</v>
      </c>
      <c r="F800" s="63">
        <v>10.3</v>
      </c>
      <c r="G800" s="63">
        <v>1.1000000000000001</v>
      </c>
      <c r="H800" s="63">
        <v>70.599999999999994</v>
      </c>
      <c r="I800" s="63">
        <v>334</v>
      </c>
      <c r="J800" s="96"/>
      <c r="K800" s="152"/>
      <c r="L800" s="114">
        <v>33</v>
      </c>
      <c r="M800" s="68" t="e">
        <f>SUM(L800*#REF!)/1000</f>
        <v>#REF!</v>
      </c>
    </row>
    <row r="801" spans="1:13" x14ac:dyDescent="0.25">
      <c r="A801" s="782"/>
      <c r="B801" s="107" t="s">
        <v>392</v>
      </c>
      <c r="C801" s="107"/>
      <c r="D801" s="63">
        <v>22.5</v>
      </c>
      <c r="E801" s="63">
        <v>22.5</v>
      </c>
      <c r="F801" s="63">
        <v>0</v>
      </c>
      <c r="G801" s="63">
        <v>0</v>
      </c>
      <c r="H801" s="63">
        <v>0</v>
      </c>
      <c r="I801" s="63">
        <v>0</v>
      </c>
      <c r="J801" s="96">
        <v>0</v>
      </c>
      <c r="K801" s="152"/>
      <c r="L801" s="114"/>
      <c r="M801" s="68"/>
    </row>
    <row r="802" spans="1:13" x14ac:dyDescent="0.25">
      <c r="A802" s="782"/>
      <c r="B802" s="107"/>
      <c r="C802" s="107"/>
      <c r="D802" s="63"/>
      <c r="E802" s="63"/>
      <c r="F802" s="118">
        <f>SUM(F798:F801)</f>
        <v>10.8</v>
      </c>
      <c r="G802" s="118">
        <f>SUM(G798:G801)</f>
        <v>3.2</v>
      </c>
      <c r="H802" s="118">
        <f>SUM(H798:H801)</f>
        <v>72.069999999999993</v>
      </c>
      <c r="I802" s="118">
        <f>SUM(I798:I801)</f>
        <v>360.72</v>
      </c>
      <c r="J802" s="139"/>
      <c r="K802" s="152"/>
      <c r="L802" s="114"/>
      <c r="M802" s="68"/>
    </row>
    <row r="803" spans="1:13" x14ac:dyDescent="0.25">
      <c r="A803" s="782"/>
      <c r="B803" s="124" t="s">
        <v>412</v>
      </c>
      <c r="C803" s="107">
        <v>100</v>
      </c>
      <c r="D803" s="63"/>
      <c r="E803" s="63"/>
      <c r="F803" s="63">
        <v>2.14</v>
      </c>
      <c r="G803" s="63">
        <v>5.93</v>
      </c>
      <c r="H803" s="63">
        <v>15.53</v>
      </c>
      <c r="I803" s="63">
        <v>124</v>
      </c>
      <c r="J803" s="96">
        <v>7.28</v>
      </c>
      <c r="K803" s="155" t="s">
        <v>425</v>
      </c>
      <c r="L803" s="114">
        <v>119</v>
      </c>
      <c r="M803" s="68" t="e">
        <f>SUM(L803*#REF!)/1000</f>
        <v>#REF!</v>
      </c>
    </row>
    <row r="804" spans="1:13" x14ac:dyDescent="0.25">
      <c r="A804" s="782"/>
      <c r="B804" s="107" t="s">
        <v>30</v>
      </c>
      <c r="C804" s="107"/>
      <c r="D804" s="63">
        <v>184</v>
      </c>
      <c r="E804" s="63">
        <v>138</v>
      </c>
      <c r="F804" s="63">
        <v>2</v>
      </c>
      <c r="G804" s="63">
        <v>4</v>
      </c>
      <c r="H804" s="63">
        <v>16.3</v>
      </c>
      <c r="I804" s="63">
        <v>77</v>
      </c>
      <c r="J804" s="96"/>
      <c r="K804" s="155"/>
      <c r="L804" s="114"/>
      <c r="M804" s="68"/>
    </row>
    <row r="805" spans="1:13" x14ac:dyDescent="0.25">
      <c r="A805" s="782"/>
      <c r="B805" s="107" t="s">
        <v>37</v>
      </c>
      <c r="C805" s="107"/>
      <c r="D805" s="63">
        <v>8</v>
      </c>
      <c r="E805" s="63">
        <v>8</v>
      </c>
      <c r="F805" s="63">
        <v>0</v>
      </c>
      <c r="G805" s="63">
        <v>99.9</v>
      </c>
      <c r="H805" s="63">
        <v>0</v>
      </c>
      <c r="I805" s="63">
        <v>899</v>
      </c>
      <c r="J805" s="96"/>
      <c r="K805" s="155"/>
      <c r="L805" s="114"/>
      <c r="M805" s="68"/>
    </row>
    <row r="806" spans="1:13" x14ac:dyDescent="0.25">
      <c r="A806" s="782"/>
      <c r="B806" s="107" t="s">
        <v>32</v>
      </c>
      <c r="C806" s="107"/>
      <c r="D806" s="63">
        <v>8</v>
      </c>
      <c r="E806" s="63">
        <v>7</v>
      </c>
      <c r="F806" s="63">
        <v>1.4</v>
      </c>
      <c r="G806" s="63">
        <v>0.2</v>
      </c>
      <c r="H806" s="63">
        <v>8.1999999999999993</v>
      </c>
      <c r="I806" s="63">
        <v>41</v>
      </c>
      <c r="J806" s="96"/>
      <c r="K806" s="155"/>
      <c r="L806" s="114"/>
      <c r="M806" s="68"/>
    </row>
    <row r="807" spans="1:13" x14ac:dyDescent="0.25">
      <c r="A807" s="782"/>
      <c r="B807" s="107" t="s">
        <v>31</v>
      </c>
      <c r="C807" s="107"/>
      <c r="D807" s="63">
        <v>10</v>
      </c>
      <c r="E807" s="63">
        <v>8</v>
      </c>
      <c r="F807" s="63">
        <v>0.1</v>
      </c>
      <c r="G807" s="63">
        <v>0</v>
      </c>
      <c r="H807" s="63">
        <v>0.7</v>
      </c>
      <c r="I807" s="63">
        <v>3.3</v>
      </c>
      <c r="J807" s="96"/>
      <c r="K807" s="155"/>
      <c r="L807" s="114"/>
      <c r="M807" s="68"/>
    </row>
    <row r="808" spans="1:13" x14ac:dyDescent="0.25">
      <c r="A808" s="782"/>
      <c r="B808" s="107" t="s">
        <v>112</v>
      </c>
      <c r="C808" s="107"/>
      <c r="D808" s="63">
        <v>1.3</v>
      </c>
      <c r="E808" s="63">
        <v>1.3</v>
      </c>
      <c r="F808" s="63">
        <v>0</v>
      </c>
      <c r="G808" s="63">
        <v>0</v>
      </c>
      <c r="H808" s="63">
        <v>0</v>
      </c>
      <c r="I808" s="63">
        <v>0</v>
      </c>
      <c r="J808" s="96">
        <v>0</v>
      </c>
      <c r="K808" s="155"/>
      <c r="L808" s="114"/>
      <c r="M808" s="68"/>
    </row>
    <row r="809" spans="1:13" x14ac:dyDescent="0.25">
      <c r="A809" s="782"/>
      <c r="B809" s="107"/>
      <c r="C809" s="107"/>
      <c r="D809" s="63"/>
      <c r="E809" s="63"/>
      <c r="F809" s="118">
        <f>SUM(F804:F808)</f>
        <v>3.5</v>
      </c>
      <c r="G809" s="118">
        <f>SUM(G804:G808)</f>
        <v>104.10000000000001</v>
      </c>
      <c r="H809" s="118">
        <f>SUM(H804:H808)</f>
        <v>25.2</v>
      </c>
      <c r="I809" s="118">
        <f>SUM(I804:I808)</f>
        <v>1020.3</v>
      </c>
      <c r="J809" s="139"/>
      <c r="K809" s="253"/>
      <c r="L809" s="114">
        <v>50</v>
      </c>
      <c r="M809" s="68">
        <f t="shared" ref="M809" si="27">SUM(L809*D809)/1000</f>
        <v>0</v>
      </c>
    </row>
    <row r="810" spans="1:13" x14ac:dyDescent="0.25">
      <c r="A810" s="782"/>
      <c r="B810" s="138" t="s">
        <v>180</v>
      </c>
      <c r="C810" s="124">
        <v>180</v>
      </c>
      <c r="D810" s="13"/>
      <c r="E810" s="13"/>
      <c r="F810" s="63"/>
      <c r="G810" s="63"/>
      <c r="H810" s="63"/>
      <c r="I810" s="63"/>
      <c r="J810" s="96"/>
      <c r="K810" s="108" t="s">
        <v>181</v>
      </c>
      <c r="L810" s="65"/>
      <c r="M810" s="64"/>
    </row>
    <row r="811" spans="1:13" ht="17.25" customHeight="1" x14ac:dyDescent="0.25">
      <c r="A811" s="782"/>
      <c r="B811" s="107" t="s">
        <v>182</v>
      </c>
      <c r="C811" s="107"/>
      <c r="D811" s="63">
        <v>18</v>
      </c>
      <c r="E811" s="63" t="s">
        <v>183</v>
      </c>
      <c r="F811" s="63">
        <v>0.93600000000000005</v>
      </c>
      <c r="G811" s="63">
        <v>5.3999999999999999E-2</v>
      </c>
      <c r="H811" s="63">
        <v>9.18</v>
      </c>
      <c r="I811" s="63">
        <v>41.76</v>
      </c>
      <c r="J811" s="96">
        <v>0.72</v>
      </c>
      <c r="K811" s="136"/>
      <c r="L811" s="114">
        <v>90</v>
      </c>
      <c r="M811" s="68">
        <f>SUM(L811*D811)/1000</f>
        <v>1.62</v>
      </c>
    </row>
    <row r="812" spans="1:13" x14ac:dyDescent="0.25">
      <c r="A812" s="782"/>
      <c r="B812" s="107" t="s">
        <v>38</v>
      </c>
      <c r="C812" s="107"/>
      <c r="D812" s="63">
        <v>14.4</v>
      </c>
      <c r="E812" s="63">
        <v>14.4</v>
      </c>
      <c r="F812" s="63">
        <v>0</v>
      </c>
      <c r="G812" s="63">
        <v>0</v>
      </c>
      <c r="H812" s="63">
        <v>14.371</v>
      </c>
      <c r="I812" s="63">
        <v>54.576000000000001</v>
      </c>
      <c r="J812" s="96">
        <v>0</v>
      </c>
      <c r="K812" s="136"/>
      <c r="L812" s="114">
        <v>50</v>
      </c>
      <c r="M812" s="68">
        <f>SUM(L812*D812)/1000</f>
        <v>0.72</v>
      </c>
    </row>
    <row r="813" spans="1:13" x14ac:dyDescent="0.25">
      <c r="A813" s="782"/>
      <c r="B813" s="107" t="s">
        <v>19</v>
      </c>
      <c r="C813" s="107"/>
      <c r="D813" s="63">
        <v>182.7</v>
      </c>
      <c r="E813" s="63">
        <v>182.7</v>
      </c>
      <c r="F813" s="63">
        <v>0</v>
      </c>
      <c r="G813" s="63">
        <v>0</v>
      </c>
      <c r="H813" s="63">
        <v>0</v>
      </c>
      <c r="I813" s="63">
        <v>0</v>
      </c>
      <c r="J813" s="96">
        <v>0</v>
      </c>
      <c r="K813" s="136"/>
      <c r="L813" s="114">
        <v>0</v>
      </c>
      <c r="M813" s="68">
        <f>SUM(L813*D813)/1000</f>
        <v>0</v>
      </c>
    </row>
    <row r="814" spans="1:13" x14ac:dyDescent="0.25">
      <c r="A814" s="782"/>
      <c r="B814" s="107"/>
      <c r="C814" s="107"/>
      <c r="D814" s="63"/>
      <c r="E814" s="63"/>
      <c r="F814" s="118">
        <f>SUM(F811:F813)</f>
        <v>0.93600000000000005</v>
      </c>
      <c r="G814" s="118">
        <f t="shared" ref="G814:J814" si="28">SUM(G811:G813)</f>
        <v>5.3999999999999999E-2</v>
      </c>
      <c r="H814" s="118">
        <f t="shared" si="28"/>
        <v>23.551000000000002</v>
      </c>
      <c r="I814" s="118">
        <f t="shared" si="28"/>
        <v>96.335999999999999</v>
      </c>
      <c r="J814" s="118">
        <f t="shared" si="28"/>
        <v>0.72</v>
      </c>
      <c r="K814" s="153"/>
      <c r="L814" s="114"/>
      <c r="M814" s="72">
        <f>SUM(M811:M813)</f>
        <v>2.34</v>
      </c>
    </row>
    <row r="815" spans="1:13" x14ac:dyDescent="0.25">
      <c r="A815" s="782"/>
      <c r="B815" s="647" t="s">
        <v>40</v>
      </c>
      <c r="C815" s="124">
        <v>40</v>
      </c>
      <c r="D815" s="63">
        <v>40</v>
      </c>
      <c r="E815" s="63">
        <v>40</v>
      </c>
      <c r="F815" s="118">
        <v>3.85</v>
      </c>
      <c r="G815" s="118">
        <v>1.5</v>
      </c>
      <c r="H815" s="118">
        <v>24.9</v>
      </c>
      <c r="I815" s="118">
        <v>131</v>
      </c>
      <c r="J815" s="139">
        <v>0</v>
      </c>
      <c r="K815" s="153" t="s">
        <v>73</v>
      </c>
      <c r="L815" s="114">
        <v>35</v>
      </c>
      <c r="M815" s="72">
        <f>SUM(L815*D815)/1000</f>
        <v>1.4</v>
      </c>
    </row>
    <row r="816" spans="1:13" x14ac:dyDescent="0.25">
      <c r="A816" s="783"/>
      <c r="B816" s="124" t="s">
        <v>74</v>
      </c>
      <c r="C816" s="227"/>
      <c r="D816" s="102"/>
      <c r="E816" s="63"/>
      <c r="F816" s="142">
        <f>F790+F797+F802+F809+F814+F815</f>
        <v>31.968000000000004</v>
      </c>
      <c r="G816" s="142">
        <f>G790+G797+G802+G809+G814+G815</f>
        <v>119.77000000000001</v>
      </c>
      <c r="H816" s="142">
        <f>H790+H797+H802+H809+H814+H815</f>
        <v>171.929</v>
      </c>
      <c r="I816" s="142">
        <f>I790+I797+I802+I809+I814+I815</f>
        <v>1865.086</v>
      </c>
      <c r="J816" s="143">
        <f>J790+J797+J802+J809+J814+J815</f>
        <v>12.9</v>
      </c>
      <c r="K816" s="234"/>
      <c r="L816" s="235"/>
      <c r="M816" s="36" t="e">
        <f>SUM(#REF!,#REF!,#REF!,M814:M815)</f>
        <v>#REF!</v>
      </c>
    </row>
    <row r="817" spans="1:13" x14ac:dyDescent="0.25">
      <c r="A817" s="5" t="s">
        <v>75</v>
      </c>
      <c r="B817" s="13"/>
      <c r="C817" s="4"/>
      <c r="D817" s="105"/>
      <c r="E817" s="106"/>
      <c r="F817" s="228"/>
      <c r="G817" s="228"/>
      <c r="H817" s="228"/>
      <c r="I817" s="228"/>
      <c r="J817" s="229"/>
      <c r="K817" s="153"/>
      <c r="L817" s="65"/>
      <c r="M817" s="64"/>
    </row>
    <row r="818" spans="1:13" x14ac:dyDescent="0.25">
      <c r="A818" s="781"/>
      <c r="B818" s="338" t="s">
        <v>426</v>
      </c>
      <c r="C818" s="363">
        <v>205</v>
      </c>
      <c r="D818" s="340"/>
      <c r="E818" s="345"/>
      <c r="F818" s="420">
        <v>7.73</v>
      </c>
      <c r="G818" s="421">
        <v>6.91</v>
      </c>
      <c r="H818" s="406">
        <v>23.03</v>
      </c>
      <c r="I818" s="340">
        <v>185</v>
      </c>
      <c r="J818" s="342">
        <v>0.33</v>
      </c>
      <c r="K818" s="155" t="s">
        <v>427</v>
      </c>
      <c r="L818" s="65"/>
      <c r="M818" s="64"/>
    </row>
    <row r="819" spans="1:13" x14ac:dyDescent="0.25">
      <c r="A819" s="782"/>
      <c r="B819" s="342" t="s">
        <v>428</v>
      </c>
      <c r="C819" s="343"/>
      <c r="D819" s="340">
        <v>162</v>
      </c>
      <c r="E819" s="345"/>
      <c r="F819" s="366"/>
      <c r="G819" s="421"/>
      <c r="H819" s="406"/>
      <c r="I819" s="340"/>
      <c r="J819" s="342"/>
      <c r="K819" s="155"/>
      <c r="L819" s="65"/>
      <c r="M819" s="64"/>
    </row>
    <row r="820" spans="1:13" x14ac:dyDescent="0.25">
      <c r="A820" s="782"/>
      <c r="B820" s="342" t="s">
        <v>21</v>
      </c>
      <c r="C820" s="343"/>
      <c r="D820" s="352">
        <v>3</v>
      </c>
      <c r="E820" s="643">
        <v>3</v>
      </c>
      <c r="F820" s="366">
        <v>0</v>
      </c>
      <c r="G820" s="421">
        <v>2.5</v>
      </c>
      <c r="H820" s="406">
        <v>0</v>
      </c>
      <c r="I820" s="340">
        <v>22.3</v>
      </c>
      <c r="J820" s="342"/>
      <c r="K820" s="155"/>
      <c r="L820" s="65"/>
      <c r="M820" s="64"/>
    </row>
    <row r="821" spans="1:13" x14ac:dyDescent="0.25">
      <c r="A821" s="782"/>
      <c r="B821" s="342" t="s">
        <v>163</v>
      </c>
      <c r="C821" s="343"/>
      <c r="D821" s="352" t="s">
        <v>429</v>
      </c>
      <c r="E821" s="643">
        <v>24</v>
      </c>
      <c r="F821" s="366">
        <v>12.7</v>
      </c>
      <c r="G821" s="421">
        <v>11.5</v>
      </c>
      <c r="H821" s="406">
        <v>0.7</v>
      </c>
      <c r="I821" s="340">
        <v>157</v>
      </c>
      <c r="J821" s="342"/>
      <c r="K821" s="155"/>
      <c r="L821" s="65"/>
      <c r="M821" s="64"/>
    </row>
    <row r="822" spans="1:13" x14ac:dyDescent="0.25">
      <c r="A822" s="782"/>
      <c r="B822" s="342" t="s">
        <v>141</v>
      </c>
      <c r="C822" s="343"/>
      <c r="D822" s="352">
        <v>33</v>
      </c>
      <c r="E822" s="776">
        <v>33</v>
      </c>
      <c r="F822" s="366">
        <v>3.2</v>
      </c>
      <c r="G822" s="421">
        <v>3.5</v>
      </c>
      <c r="H822" s="406">
        <v>4.7</v>
      </c>
      <c r="I822" s="340">
        <v>63</v>
      </c>
      <c r="J822" s="342"/>
      <c r="K822" s="155"/>
      <c r="L822" s="65"/>
      <c r="M822" s="64"/>
    </row>
    <row r="823" spans="1:13" x14ac:dyDescent="0.25">
      <c r="A823" s="782"/>
      <c r="B823" s="342" t="s">
        <v>112</v>
      </c>
      <c r="C823" s="343"/>
      <c r="D823" s="352">
        <v>0.5</v>
      </c>
      <c r="E823" s="643">
        <v>0.5</v>
      </c>
      <c r="F823" s="366">
        <v>0</v>
      </c>
      <c r="G823" s="421">
        <v>0</v>
      </c>
      <c r="H823" s="406">
        <v>0</v>
      </c>
      <c r="I823" s="340">
        <v>0</v>
      </c>
      <c r="J823" s="342"/>
      <c r="K823" s="155"/>
      <c r="L823" s="65"/>
      <c r="M823" s="64"/>
    </row>
    <row r="824" spans="1:13" ht="19.5" customHeight="1" x14ac:dyDescent="0.25">
      <c r="A824" s="782"/>
      <c r="B824" s="342" t="s">
        <v>433</v>
      </c>
      <c r="C824" s="343"/>
      <c r="D824" s="352">
        <v>3</v>
      </c>
      <c r="E824" s="643">
        <v>3</v>
      </c>
      <c r="F824" s="366">
        <v>0</v>
      </c>
      <c r="G824" s="421">
        <v>0</v>
      </c>
      <c r="H824" s="406">
        <v>0</v>
      </c>
      <c r="I824" s="340">
        <v>0</v>
      </c>
      <c r="J824" s="342"/>
      <c r="K824" s="155"/>
      <c r="L824" s="65"/>
      <c r="M824" s="64"/>
    </row>
    <row r="825" spans="1:13" x14ac:dyDescent="0.25">
      <c r="A825" s="782"/>
      <c r="B825" s="342"/>
      <c r="C825" s="343"/>
      <c r="D825" s="340"/>
      <c r="E825" s="345"/>
      <c r="F825" s="370">
        <f>SUM(F820:F824)</f>
        <v>15.899999999999999</v>
      </c>
      <c r="G825" s="777">
        <f>SUM(G820:G824)</f>
        <v>17.5</v>
      </c>
      <c r="H825" s="778">
        <f>SUM(H820:H824)</f>
        <v>5.4</v>
      </c>
      <c r="I825" s="401">
        <f>SUM(I820:I824)</f>
        <v>242.3</v>
      </c>
      <c r="J825" s="780">
        <v>0.33</v>
      </c>
      <c r="K825" s="155"/>
      <c r="L825" s="65"/>
      <c r="M825" s="64"/>
    </row>
    <row r="826" spans="1:13" x14ac:dyDescent="0.25">
      <c r="A826" s="782"/>
      <c r="B826" s="737" t="s">
        <v>72</v>
      </c>
      <c r="C826" s="105" t="s">
        <v>187</v>
      </c>
      <c r="D826" s="13"/>
      <c r="E826" s="13"/>
      <c r="F826" s="13"/>
      <c r="G826" s="13"/>
      <c r="H826" s="13"/>
      <c r="I826" s="13"/>
      <c r="J826" s="96"/>
      <c r="L826" s="65"/>
      <c r="M826" s="280"/>
    </row>
    <row r="827" spans="1:13" ht="22.5" customHeight="1" x14ac:dyDescent="0.25">
      <c r="A827" s="782"/>
      <c r="B827" s="737" t="s">
        <v>184</v>
      </c>
      <c r="C827" s="124"/>
      <c r="D827" s="13">
        <v>30</v>
      </c>
      <c r="E827" s="13">
        <v>30</v>
      </c>
      <c r="F827" s="13"/>
      <c r="G827" s="13"/>
      <c r="H827" s="13"/>
      <c r="I827" s="13"/>
      <c r="J827" s="96"/>
      <c r="K827" s="125" t="s">
        <v>188</v>
      </c>
      <c r="L827" s="114">
        <v>100</v>
      </c>
      <c r="M827" s="68">
        <f>SUM(L827*D827)/1000</f>
        <v>3</v>
      </c>
    </row>
    <row r="828" spans="1:13" x14ac:dyDescent="0.25">
      <c r="A828" s="782"/>
      <c r="B828" s="107" t="s">
        <v>120</v>
      </c>
      <c r="C828" s="124"/>
      <c r="D828" s="63">
        <v>32.4</v>
      </c>
      <c r="E828" s="63">
        <v>32.4</v>
      </c>
      <c r="F828" s="63">
        <v>0</v>
      </c>
      <c r="G828" s="63">
        <v>0</v>
      </c>
      <c r="H828" s="63">
        <v>0</v>
      </c>
      <c r="I828" s="63">
        <v>0</v>
      </c>
      <c r="J828" s="96">
        <v>0</v>
      </c>
      <c r="K828" s="125"/>
      <c r="L828" s="114">
        <v>50.7</v>
      </c>
      <c r="M828" s="68">
        <f>SUM(L828*D828)/1000</f>
        <v>1.6426800000000001</v>
      </c>
    </row>
    <row r="829" spans="1:13" x14ac:dyDescent="0.25">
      <c r="A829" s="782"/>
      <c r="B829" s="107" t="s">
        <v>185</v>
      </c>
      <c r="C829" s="107"/>
      <c r="D829" s="63">
        <v>0.3</v>
      </c>
      <c r="E829" s="63">
        <v>0.3</v>
      </c>
      <c r="F829" s="63">
        <v>0.06</v>
      </c>
      <c r="G829" s="63">
        <v>0</v>
      </c>
      <c r="H829" s="63">
        <v>2.07E-2</v>
      </c>
      <c r="I829" s="63">
        <v>0.45540000000000003</v>
      </c>
      <c r="J829" s="96">
        <v>0.03</v>
      </c>
      <c r="K829" s="126"/>
      <c r="L829" s="114">
        <v>0</v>
      </c>
      <c r="M829" s="68">
        <f>SUM(L829*D829)/1000</f>
        <v>0</v>
      </c>
    </row>
    <row r="830" spans="1:13" x14ac:dyDescent="0.25">
      <c r="A830" s="782"/>
      <c r="B830" s="107" t="s">
        <v>49</v>
      </c>
      <c r="C830" s="107"/>
      <c r="D830" s="63">
        <v>10</v>
      </c>
      <c r="E830" s="63">
        <v>10</v>
      </c>
      <c r="F830" s="63">
        <v>0</v>
      </c>
      <c r="G830" s="63">
        <v>0</v>
      </c>
      <c r="H830" s="63">
        <v>9.98</v>
      </c>
      <c r="I830" s="63">
        <v>37.9</v>
      </c>
      <c r="J830" s="96">
        <v>0</v>
      </c>
      <c r="K830" s="126"/>
      <c r="L830" s="114"/>
      <c r="M830" s="72">
        <f>SUM(M827:M829)</f>
        <v>4.6426800000000004</v>
      </c>
    </row>
    <row r="831" spans="1:13" x14ac:dyDescent="0.25">
      <c r="A831" s="782"/>
      <c r="B831" s="107" t="s">
        <v>19</v>
      </c>
      <c r="C831" s="107"/>
      <c r="D831" s="63">
        <v>150</v>
      </c>
      <c r="E831" s="63">
        <v>150</v>
      </c>
      <c r="F831" s="63">
        <v>0</v>
      </c>
      <c r="G831" s="63">
        <v>0</v>
      </c>
      <c r="H831" s="63">
        <v>0</v>
      </c>
      <c r="I831" s="63">
        <v>0</v>
      </c>
      <c r="J831" s="96">
        <v>0</v>
      </c>
      <c r="K831" s="126"/>
      <c r="L831" s="65"/>
      <c r="M831" s="72"/>
    </row>
    <row r="832" spans="1:13" x14ac:dyDescent="0.25">
      <c r="A832" s="783"/>
      <c r="B832" s="157"/>
      <c r="C832" s="157"/>
      <c r="D832" s="51"/>
      <c r="E832" s="51"/>
      <c r="F832" s="267">
        <f>SUM(F829:F831)</f>
        <v>0.06</v>
      </c>
      <c r="G832" s="267">
        <f>SUM(G829:G831)</f>
        <v>0</v>
      </c>
      <c r="H832" s="267">
        <f>SUM(H829:H831)</f>
        <v>10.0007</v>
      </c>
      <c r="I832" s="267">
        <f>SUM(I829:I831)</f>
        <v>38.355399999999996</v>
      </c>
      <c r="J832" s="268">
        <f>SUM(J829:J831)</f>
        <v>0.03</v>
      </c>
      <c r="K832" s="156"/>
      <c r="L832" s="65"/>
      <c r="M832" s="71"/>
    </row>
    <row r="833" spans="1:13" x14ac:dyDescent="0.25">
      <c r="A833" s="740"/>
      <c r="B833" s="178" t="s">
        <v>434</v>
      </c>
      <c r="C833" s="157"/>
      <c r="D833" s="51"/>
      <c r="E833" s="51"/>
      <c r="F833" s="222">
        <f>F825+F832</f>
        <v>15.959999999999999</v>
      </c>
      <c r="G833" s="222">
        <f>G825+G832</f>
        <v>17.5</v>
      </c>
      <c r="H833" s="222">
        <f>H825+H832</f>
        <v>15.400700000000001</v>
      </c>
      <c r="I833" s="222">
        <f>I825+I832</f>
        <v>280.65539999999999</v>
      </c>
      <c r="J833" s="779">
        <f>J832+J825</f>
        <v>0.36</v>
      </c>
      <c r="K833" s="156"/>
      <c r="L833" s="65"/>
      <c r="M833" s="71"/>
    </row>
    <row r="834" spans="1:13" ht="25.5" x14ac:dyDescent="0.25">
      <c r="A834" s="593" t="s">
        <v>164</v>
      </c>
      <c r="B834" s="146"/>
      <c r="C834" s="22"/>
      <c r="D834" s="23"/>
      <c r="E834" s="23"/>
      <c r="F834" s="11">
        <f>F780+F816+F832</f>
        <v>51.405000000000001</v>
      </c>
      <c r="G834" s="11">
        <f>G780+G816+G832</f>
        <v>148.29600000000002</v>
      </c>
      <c r="H834" s="11">
        <f>H780+H816+H832</f>
        <v>280.84144999999995</v>
      </c>
      <c r="I834" s="11">
        <f>I780+I816+I832</f>
        <v>2655.8474000000001</v>
      </c>
      <c r="J834" s="11">
        <f>J780+J816+J832</f>
        <v>16.635000000000002</v>
      </c>
      <c r="K834" s="30"/>
      <c r="L834" s="32"/>
      <c r="M834" s="33"/>
    </row>
    <row r="835" spans="1:13" x14ac:dyDescent="0.25">
      <c r="A835" s="5" t="s">
        <v>165</v>
      </c>
      <c r="B835" s="13"/>
      <c r="C835" s="13"/>
      <c r="D835" s="63"/>
      <c r="E835" s="63"/>
      <c r="F835" s="13"/>
      <c r="G835" s="13"/>
      <c r="H835" s="13"/>
      <c r="I835" s="13"/>
      <c r="J835" s="96"/>
      <c r="K835" s="155"/>
      <c r="L835" s="65"/>
      <c r="M835" s="64"/>
    </row>
    <row r="836" spans="1:13" x14ac:dyDescent="0.25">
      <c r="A836" s="5" t="s">
        <v>16</v>
      </c>
      <c r="B836" s="13"/>
      <c r="C836" s="4"/>
      <c r="D836" s="105"/>
      <c r="E836" s="106"/>
      <c r="F836" s="63"/>
      <c r="G836" s="63"/>
      <c r="H836" s="63"/>
      <c r="I836" s="63"/>
      <c r="J836" s="96"/>
      <c r="K836" s="155"/>
      <c r="L836" s="65"/>
      <c r="M836" s="64"/>
    </row>
    <row r="837" spans="1:13" x14ac:dyDescent="0.25">
      <c r="A837" s="818"/>
      <c r="B837" s="362" t="s">
        <v>270</v>
      </c>
      <c r="C837" s="363">
        <v>200</v>
      </c>
      <c r="D837" s="340"/>
      <c r="E837" s="340"/>
      <c r="F837" s="400">
        <f>F838+F839+F840+F841+F842</f>
        <v>4.7249999999999996</v>
      </c>
      <c r="G837" s="400">
        <f>G838+G839+G840+G841+G842</f>
        <v>3.335</v>
      </c>
      <c r="H837" s="400">
        <f>H838+H839+H840+H841+H842</f>
        <v>40.328000000000003</v>
      </c>
      <c r="I837" s="400">
        <f>I838+I839+I840+I841+I842</f>
        <v>209.85</v>
      </c>
      <c r="J837" s="400">
        <f>J838+J839+J840+J841+J842</f>
        <v>1.2350000000000001</v>
      </c>
      <c r="K837" s="479" t="s">
        <v>271</v>
      </c>
      <c r="L837" s="65"/>
      <c r="M837" s="64"/>
    </row>
    <row r="838" spans="1:13" x14ac:dyDescent="0.25">
      <c r="A838" s="817"/>
      <c r="B838" s="353" t="s">
        <v>272</v>
      </c>
      <c r="C838" s="343"/>
      <c r="D838" s="340">
        <v>29.5</v>
      </c>
      <c r="E838" s="340">
        <v>29.5</v>
      </c>
      <c r="F838" s="347">
        <f>7*E838/100</f>
        <v>2.0649999999999999</v>
      </c>
      <c r="G838" s="347">
        <f>1*E838/100</f>
        <v>0.29499999999999998</v>
      </c>
      <c r="H838" s="347">
        <f>71.4*E838/100</f>
        <v>21.063000000000002</v>
      </c>
      <c r="I838" s="395">
        <f>330*E838/100</f>
        <v>97.35</v>
      </c>
      <c r="J838" s="396">
        <v>0</v>
      </c>
      <c r="K838" s="480"/>
      <c r="L838" s="114">
        <v>43.22</v>
      </c>
      <c r="M838" s="68">
        <f>SUM(L838*D838)/1000</f>
        <v>1.2749900000000001</v>
      </c>
    </row>
    <row r="839" spans="1:13" x14ac:dyDescent="0.25">
      <c r="A839" s="817"/>
      <c r="B839" s="353" t="s">
        <v>228</v>
      </c>
      <c r="C839" s="354"/>
      <c r="D839" s="340">
        <v>95</v>
      </c>
      <c r="E839" s="340">
        <v>95</v>
      </c>
      <c r="F839" s="340">
        <f>2.8*E839/100</f>
        <v>2.66</v>
      </c>
      <c r="G839" s="340">
        <f>3.2*E839/100</f>
        <v>3.04</v>
      </c>
      <c r="H839" s="340">
        <f>4.7*E839/100</f>
        <v>4.4649999999999999</v>
      </c>
      <c r="I839" s="345">
        <f>58*E839/100</f>
        <v>55.1</v>
      </c>
      <c r="J839" s="346">
        <f>1.3*E839/100</f>
        <v>1.2350000000000001</v>
      </c>
      <c r="K839" s="480"/>
      <c r="L839" s="114">
        <v>0</v>
      </c>
      <c r="M839" s="68">
        <f>SUM(L839*D839)/1000</f>
        <v>0</v>
      </c>
    </row>
    <row r="840" spans="1:13" x14ac:dyDescent="0.25">
      <c r="A840" s="817"/>
      <c r="B840" s="353" t="s">
        <v>229</v>
      </c>
      <c r="C840" s="354"/>
      <c r="D840" s="340">
        <v>72</v>
      </c>
      <c r="E840" s="340">
        <v>72</v>
      </c>
      <c r="F840" s="341">
        <v>0</v>
      </c>
      <c r="G840" s="341">
        <v>0</v>
      </c>
      <c r="H840" s="341">
        <v>0</v>
      </c>
      <c r="I840" s="348">
        <v>0</v>
      </c>
      <c r="J840" s="349">
        <v>0</v>
      </c>
      <c r="K840" s="480"/>
      <c r="L840" s="114">
        <v>55.45</v>
      </c>
      <c r="M840" s="68">
        <f>SUM(L840*D840)/1000</f>
        <v>3.9923999999999999</v>
      </c>
    </row>
    <row r="841" spans="1:13" x14ac:dyDescent="0.25">
      <c r="A841" s="817"/>
      <c r="B841" s="353" t="s">
        <v>230</v>
      </c>
      <c r="C841" s="363"/>
      <c r="D841" s="340">
        <v>15</v>
      </c>
      <c r="E841" s="340">
        <v>15</v>
      </c>
      <c r="F841" s="340">
        <v>0</v>
      </c>
      <c r="G841" s="340">
        <v>0</v>
      </c>
      <c r="H841" s="340">
        <v>14.8</v>
      </c>
      <c r="I841" s="345">
        <v>57.4</v>
      </c>
      <c r="J841" s="366">
        <v>0</v>
      </c>
      <c r="K841" s="480"/>
      <c r="L841" s="114">
        <v>376.98</v>
      </c>
      <c r="M841" s="68">
        <f>SUM(L841*D841)/1000</f>
        <v>5.6547000000000009</v>
      </c>
    </row>
    <row r="842" spans="1:13" x14ac:dyDescent="0.25">
      <c r="A842" s="817"/>
      <c r="B842" s="353" t="s">
        <v>231</v>
      </c>
      <c r="C842" s="363"/>
      <c r="D842" s="340">
        <v>0.3</v>
      </c>
      <c r="E842" s="340">
        <v>0.3</v>
      </c>
      <c r="F842" s="340">
        <v>0</v>
      </c>
      <c r="G842" s="340">
        <v>0</v>
      </c>
      <c r="H842" s="340">
        <v>0</v>
      </c>
      <c r="I842" s="345">
        <v>0</v>
      </c>
      <c r="J842" s="346">
        <v>0</v>
      </c>
      <c r="K842" s="480"/>
      <c r="L842" s="114">
        <v>50.7</v>
      </c>
      <c r="M842" s="68">
        <f>SUM(L842*D842)/1000</f>
        <v>1.5210000000000001E-2</v>
      </c>
    </row>
    <row r="843" spans="1:13" x14ac:dyDescent="0.25">
      <c r="A843" s="817"/>
      <c r="B843" s="647" t="s">
        <v>23</v>
      </c>
      <c r="C843" s="105">
        <v>40</v>
      </c>
      <c r="D843" s="13"/>
      <c r="E843" s="123"/>
      <c r="F843" s="110"/>
      <c r="G843" s="110"/>
      <c r="H843" s="110"/>
      <c r="I843" s="110"/>
      <c r="J843" s="97"/>
      <c r="K843" s="112" t="s">
        <v>24</v>
      </c>
      <c r="L843" s="223"/>
      <c r="M843" s="64"/>
    </row>
    <row r="844" spans="1:13" x14ac:dyDescent="0.25">
      <c r="A844" s="817"/>
      <c r="B844" s="107" t="s">
        <v>21</v>
      </c>
      <c r="C844" s="194"/>
      <c r="D844" s="63">
        <v>10</v>
      </c>
      <c r="E844" s="63">
        <v>10</v>
      </c>
      <c r="F844" s="63">
        <v>0.08</v>
      </c>
      <c r="G844" s="63">
        <v>7.25</v>
      </c>
      <c r="H844" s="63">
        <v>0.13</v>
      </c>
      <c r="I844" s="63">
        <v>66.099999999999994</v>
      </c>
      <c r="J844" s="231">
        <v>0</v>
      </c>
      <c r="K844" s="112"/>
      <c r="L844" s="114">
        <v>376.98</v>
      </c>
      <c r="M844" s="68">
        <f>SUM(L844*D844)/1000</f>
        <v>3.7698</v>
      </c>
    </row>
    <row r="845" spans="1:13" x14ac:dyDescent="0.25">
      <c r="A845" s="817"/>
      <c r="B845" s="107" t="s">
        <v>106</v>
      </c>
      <c r="C845" s="194"/>
      <c r="D845" s="63">
        <v>30</v>
      </c>
      <c r="E845" s="63">
        <v>30</v>
      </c>
      <c r="F845" s="63">
        <v>2.31</v>
      </c>
      <c r="G845" s="63">
        <v>0.9</v>
      </c>
      <c r="H845" s="63">
        <v>14.94</v>
      </c>
      <c r="I845" s="63">
        <v>78.599999999999994</v>
      </c>
      <c r="J845" s="231">
        <v>0</v>
      </c>
      <c r="K845" s="112"/>
      <c r="L845" s="114">
        <v>50</v>
      </c>
      <c r="M845" s="68">
        <f>SUM(L845*D845)/1000</f>
        <v>1.5</v>
      </c>
    </row>
    <row r="846" spans="1:13" ht="14.25" customHeight="1" x14ac:dyDescent="0.25">
      <c r="A846" s="817"/>
      <c r="B846" s="107"/>
      <c r="C846" s="107"/>
      <c r="D846" s="63"/>
      <c r="E846" s="63"/>
      <c r="F846" s="118">
        <f>SUM(F844:F845)</f>
        <v>2.39</v>
      </c>
      <c r="G846" s="118">
        <f t="shared" ref="G846:J846" si="29">SUM(G844:G845)</f>
        <v>8.15</v>
      </c>
      <c r="H846" s="118">
        <f t="shared" si="29"/>
        <v>15.07</v>
      </c>
      <c r="I846" s="118">
        <f t="shared" si="29"/>
        <v>144.69999999999999</v>
      </c>
      <c r="J846" s="118">
        <f t="shared" si="29"/>
        <v>0</v>
      </c>
      <c r="K846" s="153"/>
      <c r="L846" s="47"/>
      <c r="M846" s="72">
        <f>SUM(M844:M845)</f>
        <v>5.2698</v>
      </c>
    </row>
    <row r="847" spans="1:13" ht="12.75" customHeight="1" x14ac:dyDescent="0.25">
      <c r="A847" s="781"/>
      <c r="L847" s="114">
        <v>50.7</v>
      </c>
      <c r="M847" s="68">
        <f>SUM(L847*D525)/1000</f>
        <v>0.50700000000000001</v>
      </c>
    </row>
    <row r="848" spans="1:13" x14ac:dyDescent="0.25">
      <c r="A848" s="782"/>
      <c r="B848" s="124" t="s">
        <v>377</v>
      </c>
      <c r="C848" s="107">
        <v>80</v>
      </c>
      <c r="D848" s="107">
        <v>80</v>
      </c>
      <c r="E848" s="107">
        <v>80</v>
      </c>
      <c r="F848" s="206">
        <v>0</v>
      </c>
      <c r="G848" s="206">
        <v>0</v>
      </c>
      <c r="H848" s="206">
        <f>10.7*E848/100</f>
        <v>8.56</v>
      </c>
      <c r="I848" s="206">
        <f>43*E848/100</f>
        <v>34.4</v>
      </c>
      <c r="J848" s="206">
        <f>25*E848/100</f>
        <v>20</v>
      </c>
      <c r="K848" s="107" t="s">
        <v>73</v>
      </c>
      <c r="L848" s="65">
        <v>73.69</v>
      </c>
      <c r="M848" s="72">
        <f>SUM(D848*L848)/1000</f>
        <v>5.8952</v>
      </c>
    </row>
    <row r="849" spans="1:13" x14ac:dyDescent="0.25">
      <c r="A849" s="782"/>
      <c r="B849" s="107"/>
      <c r="C849" s="101"/>
      <c r="D849" s="63"/>
      <c r="E849" s="63"/>
      <c r="F849" s="100"/>
      <c r="G849" s="100"/>
      <c r="H849" s="100"/>
      <c r="I849" s="100"/>
      <c r="J849" s="101"/>
      <c r="K849" s="594"/>
      <c r="L849" s="215"/>
      <c r="M849" s="595"/>
    </row>
    <row r="850" spans="1:13" x14ac:dyDescent="0.25">
      <c r="A850" s="783"/>
      <c r="B850" s="138" t="s">
        <v>57</v>
      </c>
      <c r="C850" s="150"/>
      <c r="D850" s="63"/>
      <c r="E850" s="13"/>
      <c r="F850" s="307">
        <f>F837+F846+F848</f>
        <v>7.1150000000000002</v>
      </c>
      <c r="G850" s="307">
        <f>G837+G846+G848</f>
        <v>11.484999999999999</v>
      </c>
      <c r="H850" s="307">
        <f>H837+H846+H848</f>
        <v>63.958000000000006</v>
      </c>
      <c r="I850" s="307">
        <f>I837+I846+I848</f>
        <v>388.94999999999993</v>
      </c>
      <c r="J850" s="307">
        <f>J837+J846+J848</f>
        <v>21.234999999999999</v>
      </c>
      <c r="K850" s="245"/>
      <c r="L850" s="246"/>
      <c r="M850" s="247"/>
    </row>
    <row r="851" spans="1:13" x14ac:dyDescent="0.25">
      <c r="A851" s="5" t="s">
        <v>166</v>
      </c>
      <c r="B851" s="13"/>
      <c r="C851" s="4"/>
      <c r="D851" s="105"/>
      <c r="E851" s="106"/>
      <c r="F851" s="51"/>
      <c r="G851" s="51"/>
      <c r="H851" s="51"/>
      <c r="I851" s="51"/>
      <c r="J851" s="53"/>
      <c r="K851" s="126"/>
      <c r="L851" s="65"/>
      <c r="M851" s="64"/>
    </row>
    <row r="852" spans="1:13" x14ac:dyDescent="0.25">
      <c r="A852" s="657"/>
      <c r="B852" s="438" t="s">
        <v>108</v>
      </c>
      <c r="C852" s="140">
        <v>200</v>
      </c>
      <c r="D852" s="154"/>
      <c r="E852" s="154"/>
      <c r="F852" s="13"/>
      <c r="G852" s="13"/>
      <c r="H852" s="13"/>
      <c r="I852" s="13"/>
      <c r="J852" s="96"/>
      <c r="K852" s="125" t="s">
        <v>109</v>
      </c>
      <c r="L852" s="65"/>
      <c r="M852" s="64"/>
    </row>
    <row r="853" spans="1:13" x14ac:dyDescent="0.25">
      <c r="A853" s="657"/>
      <c r="B853" s="428" t="s">
        <v>36</v>
      </c>
      <c r="C853" s="96"/>
      <c r="D853" s="63">
        <v>53.4</v>
      </c>
      <c r="E853" s="63">
        <v>40</v>
      </c>
      <c r="F853" s="102">
        <v>0.8</v>
      </c>
      <c r="G853" s="63">
        <v>0.16</v>
      </c>
      <c r="H853" s="63">
        <v>6.52</v>
      </c>
      <c r="I853" s="63">
        <v>30.8</v>
      </c>
      <c r="J853" s="96">
        <v>8</v>
      </c>
      <c r="K853" s="152"/>
      <c r="L853" s="65"/>
      <c r="M853" s="64"/>
    </row>
    <row r="854" spans="1:13" x14ac:dyDescent="0.25">
      <c r="A854" s="657"/>
      <c r="B854" s="428" t="s">
        <v>59</v>
      </c>
      <c r="C854" s="96"/>
      <c r="D854" s="63">
        <v>10</v>
      </c>
      <c r="E854" s="63">
        <v>8</v>
      </c>
      <c r="F854" s="63">
        <v>0.104</v>
      </c>
      <c r="G854" s="63">
        <v>8.0000000000000002E-3</v>
      </c>
      <c r="H854" s="63">
        <v>0.55200000000000005</v>
      </c>
      <c r="I854" s="63">
        <v>2.8</v>
      </c>
      <c r="J854" s="96">
        <v>0.4</v>
      </c>
      <c r="K854" s="152"/>
      <c r="L854" s="65"/>
      <c r="M854" s="64"/>
    </row>
    <row r="855" spans="1:13" x14ac:dyDescent="0.25">
      <c r="A855" s="657"/>
      <c r="B855" s="428" t="s">
        <v>32</v>
      </c>
      <c r="C855" s="96"/>
      <c r="D855" s="63">
        <v>9.6</v>
      </c>
      <c r="E855" s="63">
        <v>8</v>
      </c>
      <c r="F855" s="63">
        <v>0.112</v>
      </c>
      <c r="G855" s="63">
        <v>1.6E-2</v>
      </c>
      <c r="H855" s="63">
        <v>0.65600000000000003</v>
      </c>
      <c r="I855" s="63">
        <v>0.28000000000000003</v>
      </c>
      <c r="J855" s="96">
        <v>0.8</v>
      </c>
      <c r="K855" s="152"/>
      <c r="L855" s="65"/>
      <c r="M855" s="64"/>
    </row>
    <row r="856" spans="1:13" x14ac:dyDescent="0.25">
      <c r="A856" s="657"/>
      <c r="B856" s="428" t="s">
        <v>37</v>
      </c>
      <c r="C856" s="96"/>
      <c r="D856" s="63">
        <v>2</v>
      </c>
      <c r="E856" s="63">
        <v>2</v>
      </c>
      <c r="F856" s="102">
        <v>0</v>
      </c>
      <c r="G856" s="63">
        <v>1.998</v>
      </c>
      <c r="H856" s="63">
        <v>0</v>
      </c>
      <c r="I856" s="63">
        <v>17.98</v>
      </c>
      <c r="J856" s="96">
        <v>0</v>
      </c>
      <c r="K856" s="152"/>
      <c r="L856" s="65"/>
      <c r="M856" s="64"/>
    </row>
    <row r="857" spans="1:13" x14ac:dyDescent="0.25">
      <c r="A857" s="657"/>
      <c r="B857" s="433" t="s">
        <v>110</v>
      </c>
      <c r="C857" s="133"/>
      <c r="D857" s="13" t="s">
        <v>35</v>
      </c>
      <c r="E857" s="13">
        <v>52</v>
      </c>
      <c r="F857" s="102">
        <v>0</v>
      </c>
      <c r="G857" s="63">
        <v>0</v>
      </c>
      <c r="H857" s="63">
        <v>0</v>
      </c>
      <c r="I857" s="63">
        <v>0</v>
      </c>
      <c r="J857" s="96">
        <v>0</v>
      </c>
      <c r="K857" s="152"/>
      <c r="L857" s="65"/>
      <c r="M857" s="64"/>
    </row>
    <row r="858" spans="1:13" x14ac:dyDescent="0.25">
      <c r="A858" s="657"/>
      <c r="B858" s="428" t="s">
        <v>33</v>
      </c>
      <c r="C858" s="96"/>
      <c r="D858" s="63">
        <v>16</v>
      </c>
      <c r="E858" s="63">
        <v>16</v>
      </c>
      <c r="F858" s="102">
        <v>1.6479999999999999</v>
      </c>
      <c r="G858" s="63">
        <v>0.17599999999999999</v>
      </c>
      <c r="H858" s="63">
        <v>11.04</v>
      </c>
      <c r="I858" s="63">
        <v>53.44</v>
      </c>
      <c r="J858" s="96">
        <v>0</v>
      </c>
      <c r="K858" s="152"/>
      <c r="L858" s="65"/>
      <c r="M858" s="64"/>
    </row>
    <row r="859" spans="1:13" x14ac:dyDescent="0.25">
      <c r="A859" s="657"/>
      <c r="B859" s="428" t="s">
        <v>21</v>
      </c>
      <c r="C859" s="96"/>
      <c r="D859" s="63">
        <v>1.7</v>
      </c>
      <c r="E859" s="63">
        <v>1.7</v>
      </c>
      <c r="F859" s="102">
        <v>1.3599999999999999E-2</v>
      </c>
      <c r="G859" s="63">
        <v>1.232</v>
      </c>
      <c r="H859" s="63">
        <v>2.2100000000000002E-2</v>
      </c>
      <c r="I859" s="63">
        <v>11.237</v>
      </c>
      <c r="J859" s="96">
        <v>0</v>
      </c>
      <c r="K859" s="152"/>
      <c r="L859" s="65"/>
      <c r="M859" s="64"/>
    </row>
    <row r="860" spans="1:13" x14ac:dyDescent="0.25">
      <c r="A860" s="657"/>
      <c r="B860" s="428" t="s">
        <v>34</v>
      </c>
      <c r="C860" s="96"/>
      <c r="D860" s="63">
        <v>4.5</v>
      </c>
      <c r="E860" s="63" t="s">
        <v>215</v>
      </c>
      <c r="F860" s="102">
        <v>0.72299999999999998</v>
      </c>
      <c r="G860" s="63">
        <v>0.65500000000000003</v>
      </c>
      <c r="H860" s="63">
        <v>3.9899999999999998E-2</v>
      </c>
      <c r="I860" s="63">
        <v>8.9489999999999998</v>
      </c>
      <c r="J860" s="96">
        <v>0</v>
      </c>
      <c r="K860" s="152"/>
      <c r="L860" s="65"/>
      <c r="M860" s="64"/>
    </row>
    <row r="861" spans="1:13" x14ac:dyDescent="0.25">
      <c r="A861" s="657"/>
      <c r="B861" s="428" t="s">
        <v>111</v>
      </c>
      <c r="C861" s="96"/>
      <c r="D861" s="63">
        <v>25.1</v>
      </c>
      <c r="E861" s="63">
        <v>25.1</v>
      </c>
      <c r="F861" s="173">
        <v>0</v>
      </c>
      <c r="G861" s="107">
        <v>0</v>
      </c>
      <c r="H861" s="107">
        <v>0</v>
      </c>
      <c r="I861" s="107">
        <v>0</v>
      </c>
      <c r="J861" s="96">
        <v>0</v>
      </c>
      <c r="K861" s="152"/>
      <c r="L861" s="65"/>
      <c r="M861" s="64"/>
    </row>
    <row r="862" spans="1:13" x14ac:dyDescent="0.25">
      <c r="A862" s="657"/>
      <c r="B862" s="434" t="s">
        <v>96</v>
      </c>
      <c r="C862" s="96"/>
      <c r="D862" s="63" t="s">
        <v>35</v>
      </c>
      <c r="E862" s="63">
        <v>46.8</v>
      </c>
      <c r="F862" s="157">
        <v>0</v>
      </c>
      <c r="G862" s="157">
        <v>0</v>
      </c>
      <c r="H862" s="157">
        <v>0</v>
      </c>
      <c r="I862" s="157">
        <v>0</v>
      </c>
      <c r="J862" s="157">
        <v>0</v>
      </c>
      <c r="K862" s="174"/>
      <c r="L862" s="65"/>
      <c r="M862" s="64"/>
    </row>
    <row r="863" spans="1:13" x14ac:dyDescent="0.25">
      <c r="A863" s="657"/>
      <c r="B863" s="428" t="s">
        <v>112</v>
      </c>
      <c r="C863" s="96"/>
      <c r="D863" s="63">
        <v>1.2</v>
      </c>
      <c r="E863" s="63">
        <v>1.2</v>
      </c>
      <c r="F863" s="157">
        <v>0</v>
      </c>
      <c r="G863" s="157">
        <v>0</v>
      </c>
      <c r="H863" s="157">
        <v>0</v>
      </c>
      <c r="I863" s="157">
        <v>0</v>
      </c>
      <c r="J863" s="157">
        <v>0</v>
      </c>
      <c r="K863" s="174"/>
      <c r="L863" s="65"/>
      <c r="M863" s="64"/>
    </row>
    <row r="864" spans="1:13" x14ac:dyDescent="0.25">
      <c r="A864" s="657"/>
      <c r="B864" s="428" t="s">
        <v>19</v>
      </c>
      <c r="C864" s="96"/>
      <c r="D864" s="63">
        <v>150</v>
      </c>
      <c r="E864" s="63">
        <v>150</v>
      </c>
      <c r="F864" s="202">
        <v>0</v>
      </c>
      <c r="G864" s="157">
        <v>0</v>
      </c>
      <c r="H864" s="157">
        <v>0</v>
      </c>
      <c r="I864" s="157">
        <v>0</v>
      </c>
      <c r="J864" s="53">
        <v>0</v>
      </c>
      <c r="K864" s="174"/>
      <c r="L864" s="65"/>
      <c r="M864" s="64"/>
    </row>
    <row r="865" spans="1:13" x14ac:dyDescent="0.25">
      <c r="A865" s="657"/>
      <c r="B865" s="124"/>
      <c r="C865" s="124"/>
      <c r="D865" s="13"/>
      <c r="E865" s="13"/>
      <c r="F865" s="118">
        <f>SUM(F853:F864)</f>
        <v>3.4005999999999994</v>
      </c>
      <c r="G865" s="118">
        <f>SUM(G853:G864)</f>
        <v>4.2450000000000001</v>
      </c>
      <c r="H865" s="118">
        <f>SUM(H853:H864)</f>
        <v>18.829999999999995</v>
      </c>
      <c r="I865" s="118">
        <f>SUM(I853:I864)</f>
        <v>125.48599999999999</v>
      </c>
      <c r="J865" s="119">
        <f>SUM(J853:J864)</f>
        <v>9.2000000000000011</v>
      </c>
      <c r="K865" s="156"/>
      <c r="L865" s="65"/>
      <c r="M865" s="64"/>
    </row>
    <row r="866" spans="1:13" x14ac:dyDescent="0.25">
      <c r="A866" s="707"/>
      <c r="B866" s="652" t="s">
        <v>284</v>
      </c>
      <c r="C866" s="504">
        <v>60</v>
      </c>
      <c r="D866" s="391"/>
      <c r="E866" s="391"/>
      <c r="F866" s="653"/>
      <c r="G866" s="653"/>
      <c r="H866" s="653"/>
      <c r="I866" s="653"/>
      <c r="J866" s="653"/>
      <c r="K866" s="485" t="s">
        <v>317</v>
      </c>
      <c r="L866" s="114">
        <v>136.62</v>
      </c>
      <c r="M866" s="68" t="e">
        <f>SUM(L866*#REF!)/1000</f>
        <v>#REF!</v>
      </c>
    </row>
    <row r="867" spans="1:13" x14ac:dyDescent="0.25">
      <c r="A867" s="707"/>
      <c r="B867" s="342" t="s">
        <v>260</v>
      </c>
      <c r="C867" s="363"/>
      <c r="D867" s="340">
        <v>92.7</v>
      </c>
      <c r="E867" s="340">
        <v>38.200000000000003</v>
      </c>
      <c r="F867" s="340">
        <f>18.7*E867/100</f>
        <v>7.1434000000000006</v>
      </c>
      <c r="G867" s="340">
        <f>16.1*E867/100</f>
        <v>6.1502000000000008</v>
      </c>
      <c r="H867" s="340">
        <v>0</v>
      </c>
      <c r="I867" s="345">
        <f>220*E867/100</f>
        <v>84.04</v>
      </c>
      <c r="J867" s="346">
        <f>2*E867/100</f>
        <v>0.76400000000000001</v>
      </c>
      <c r="K867" s="480"/>
      <c r="L867" s="114"/>
      <c r="M867" s="68"/>
    </row>
    <row r="868" spans="1:13" x14ac:dyDescent="0.25">
      <c r="A868" s="707"/>
      <c r="B868" s="406" t="s">
        <v>285</v>
      </c>
      <c r="C868" s="339"/>
      <c r="D868" s="340">
        <v>8.6999999999999993</v>
      </c>
      <c r="E868" s="340">
        <v>8.6999999999999993</v>
      </c>
      <c r="F868" s="340">
        <f>7.7*E868/100</f>
        <v>0.66989999999999994</v>
      </c>
      <c r="G868" s="340">
        <f>3*E868/100</f>
        <v>0.26099999999999995</v>
      </c>
      <c r="H868" s="340">
        <f>49.8*E868/100</f>
        <v>4.3325999999999993</v>
      </c>
      <c r="I868" s="345">
        <f>262*E868/100</f>
        <v>22.793999999999997</v>
      </c>
      <c r="J868" s="346">
        <v>0</v>
      </c>
      <c r="K868" s="480"/>
      <c r="L868" s="114"/>
      <c r="M868" s="68"/>
    </row>
    <row r="869" spans="1:13" x14ac:dyDescent="0.25">
      <c r="A869" s="707"/>
      <c r="B869" s="406" t="s">
        <v>229</v>
      </c>
      <c r="C869" s="354"/>
      <c r="D869" s="340">
        <v>13.1</v>
      </c>
      <c r="E869" s="340">
        <v>13.1</v>
      </c>
      <c r="F869" s="340">
        <v>0</v>
      </c>
      <c r="G869" s="340">
        <v>0</v>
      </c>
      <c r="H869" s="340">
        <v>0</v>
      </c>
      <c r="I869" s="345">
        <v>0</v>
      </c>
      <c r="J869" s="346">
        <v>0</v>
      </c>
      <c r="K869" s="480"/>
      <c r="L869" s="114"/>
      <c r="M869" s="68"/>
    </row>
    <row r="870" spans="1:13" x14ac:dyDescent="0.25">
      <c r="A870" s="707"/>
      <c r="B870" s="406" t="s">
        <v>278</v>
      </c>
      <c r="C870" s="354"/>
      <c r="D870" s="340">
        <v>5.5</v>
      </c>
      <c r="E870" s="340">
        <v>5.5</v>
      </c>
      <c r="F870" s="340">
        <f>7.7*E870/100</f>
        <v>0.42349999999999999</v>
      </c>
      <c r="G870" s="340">
        <f>3*E870/100</f>
        <v>0.16500000000000001</v>
      </c>
      <c r="H870" s="340">
        <f>49.8*E870/100</f>
        <v>2.7389999999999999</v>
      </c>
      <c r="I870" s="345">
        <f>262*E870/100</f>
        <v>14.41</v>
      </c>
      <c r="J870" s="346">
        <v>0</v>
      </c>
      <c r="K870" s="480"/>
      <c r="L870" s="114"/>
      <c r="M870" s="68"/>
    </row>
    <row r="871" spans="1:13" x14ac:dyDescent="0.25">
      <c r="A871" s="707"/>
      <c r="B871" s="406" t="s">
        <v>286</v>
      </c>
      <c r="C871" s="354"/>
      <c r="D871" s="340">
        <v>2.2000000000000002</v>
      </c>
      <c r="E871" s="340">
        <v>2.2000000000000002</v>
      </c>
      <c r="F871" s="340">
        <v>0</v>
      </c>
      <c r="G871" s="340">
        <f>99.7*E871/100</f>
        <v>2.1934000000000005</v>
      </c>
      <c r="H871" s="340">
        <v>0</v>
      </c>
      <c r="I871" s="345">
        <f>897*E871/100</f>
        <v>19.734000000000002</v>
      </c>
      <c r="J871" s="346">
        <v>0</v>
      </c>
      <c r="K871" s="480"/>
      <c r="L871" s="114"/>
      <c r="M871" s="68"/>
    </row>
    <row r="872" spans="1:13" x14ac:dyDescent="0.25">
      <c r="A872" s="707"/>
      <c r="B872" s="406" t="s">
        <v>231</v>
      </c>
      <c r="C872" s="354"/>
      <c r="D872" s="340">
        <v>1.4</v>
      </c>
      <c r="E872" s="340">
        <v>1.4</v>
      </c>
      <c r="F872" s="340">
        <v>0</v>
      </c>
      <c r="G872" s="340">
        <v>0</v>
      </c>
      <c r="H872" s="340">
        <v>0</v>
      </c>
      <c r="I872" s="345">
        <v>0</v>
      </c>
      <c r="J872" s="346">
        <v>0</v>
      </c>
      <c r="K872" s="480"/>
      <c r="L872" s="114"/>
      <c r="M872" s="68"/>
    </row>
    <row r="873" spans="1:13" x14ac:dyDescent="0.25">
      <c r="A873" s="707"/>
      <c r="B873" s="406" t="s">
        <v>287</v>
      </c>
      <c r="C873" s="339"/>
      <c r="D873" s="354">
        <v>3.3</v>
      </c>
      <c r="E873" s="354">
        <v>3.3</v>
      </c>
      <c r="F873" s="340">
        <v>0</v>
      </c>
      <c r="G873" s="340">
        <f>99.9*E873/100</f>
        <v>3.2967</v>
      </c>
      <c r="H873" s="355">
        <v>0</v>
      </c>
      <c r="I873" s="356">
        <f>899*E873/100</f>
        <v>29.666999999999998</v>
      </c>
      <c r="J873" s="346">
        <v>0</v>
      </c>
      <c r="K873" s="480"/>
      <c r="L873" s="114">
        <v>35</v>
      </c>
      <c r="M873" s="68"/>
    </row>
    <row r="874" spans="1:13" x14ac:dyDescent="0.25">
      <c r="A874" s="707"/>
      <c r="B874" s="406" t="s">
        <v>288</v>
      </c>
      <c r="C874" s="354"/>
      <c r="D874" s="340">
        <v>5.5</v>
      </c>
      <c r="E874" s="340">
        <v>5.5</v>
      </c>
      <c r="F874" s="340">
        <f>0.8*E874/100</f>
        <v>4.4000000000000004E-2</v>
      </c>
      <c r="G874" s="340">
        <f>72.5*E874/100</f>
        <v>3.9874999999999998</v>
      </c>
      <c r="H874" s="340">
        <f>1.3*E874/100</f>
        <v>7.1500000000000008E-2</v>
      </c>
      <c r="I874" s="345">
        <f>661*E874/100</f>
        <v>36.354999999999997</v>
      </c>
      <c r="J874" s="346">
        <v>0</v>
      </c>
      <c r="K874" s="483"/>
      <c r="L874" s="114"/>
      <c r="M874" s="68"/>
    </row>
    <row r="875" spans="1:13" ht="18.75" customHeight="1" x14ac:dyDescent="0.25">
      <c r="A875" s="707"/>
      <c r="B875" s="96"/>
      <c r="C875" s="96"/>
      <c r="D875" s="63"/>
      <c r="E875" s="63"/>
      <c r="F875" s="430">
        <f>F867+F868+F869+F870+F871+F872+F873+F874</f>
        <v>8.280800000000001</v>
      </c>
      <c r="G875" s="430">
        <f>SUM(G867:G874)</f>
        <v>16.053799999999999</v>
      </c>
      <c r="H875" s="430">
        <f>SUM(H867:H874)</f>
        <v>7.1430999999999996</v>
      </c>
      <c r="I875" s="430">
        <f>SUM(I867:I874)</f>
        <v>207</v>
      </c>
      <c r="J875" s="430">
        <f>SUM(J867:J873)</f>
        <v>0.76400000000000001</v>
      </c>
      <c r="K875" s="126"/>
      <c r="L875" s="114"/>
      <c r="M875" s="72"/>
    </row>
    <row r="876" spans="1:13" ht="18.75" customHeight="1" x14ac:dyDescent="0.25">
      <c r="A876" s="707"/>
      <c r="B876" s="658" t="s">
        <v>160</v>
      </c>
      <c r="C876" s="124">
        <v>150</v>
      </c>
      <c r="D876" s="13"/>
      <c r="E876" s="13"/>
      <c r="F876" s="13"/>
      <c r="G876" s="13"/>
      <c r="H876" s="13"/>
      <c r="I876" s="13"/>
      <c r="J876" s="133"/>
      <c r="K876" s="125" t="s">
        <v>161</v>
      </c>
      <c r="L876" s="114"/>
      <c r="M876" s="72"/>
    </row>
    <row r="877" spans="1:13" ht="18.75" customHeight="1" x14ac:dyDescent="0.25">
      <c r="A877" s="707"/>
      <c r="B877" s="107" t="s">
        <v>122</v>
      </c>
      <c r="C877" s="107"/>
      <c r="D877" s="63">
        <v>143.80000000000001</v>
      </c>
      <c r="E877" s="63" t="s">
        <v>162</v>
      </c>
      <c r="F877" s="63">
        <v>1.85</v>
      </c>
      <c r="G877" s="63">
        <v>0.12</v>
      </c>
      <c r="H877" s="63">
        <v>10.88</v>
      </c>
      <c r="I877" s="63">
        <v>51.95</v>
      </c>
      <c r="J877" s="96">
        <v>12.3</v>
      </c>
      <c r="K877" s="253"/>
      <c r="L877" s="114"/>
      <c r="M877" s="72"/>
    </row>
    <row r="878" spans="1:13" ht="18.75" customHeight="1" x14ac:dyDescent="0.25">
      <c r="A878" s="707"/>
      <c r="B878" s="107" t="s">
        <v>32</v>
      </c>
      <c r="C878" s="107"/>
      <c r="D878" s="63">
        <v>31.3</v>
      </c>
      <c r="E878" s="63">
        <v>26.2</v>
      </c>
      <c r="F878" s="63">
        <v>0.4</v>
      </c>
      <c r="G878" s="63">
        <v>0.05</v>
      </c>
      <c r="H878" s="63">
        <v>2.36</v>
      </c>
      <c r="I878" s="63">
        <v>11.8</v>
      </c>
      <c r="J878" s="96">
        <v>2.88</v>
      </c>
      <c r="K878" s="253"/>
      <c r="L878" s="114"/>
      <c r="M878" s="72"/>
    </row>
    <row r="879" spans="1:13" ht="18.75" customHeight="1" x14ac:dyDescent="0.25">
      <c r="A879" s="707"/>
      <c r="B879" s="107" t="s">
        <v>60</v>
      </c>
      <c r="C879" s="107"/>
      <c r="D879" s="63">
        <v>15</v>
      </c>
      <c r="E879" s="63">
        <v>15</v>
      </c>
      <c r="F879" s="63">
        <v>1.98</v>
      </c>
      <c r="G879" s="63">
        <v>0</v>
      </c>
      <c r="H879" s="63">
        <v>7.82</v>
      </c>
      <c r="I879" s="63">
        <v>42</v>
      </c>
      <c r="J879" s="96">
        <v>18.5</v>
      </c>
      <c r="K879" s="253"/>
      <c r="L879" s="114"/>
      <c r="M879" s="72"/>
    </row>
    <row r="880" spans="1:13" ht="18.75" customHeight="1" x14ac:dyDescent="0.25">
      <c r="A880" s="707"/>
      <c r="B880" s="107" t="s">
        <v>37</v>
      </c>
      <c r="C880" s="107"/>
      <c r="D880" s="63">
        <v>11</v>
      </c>
      <c r="E880" s="63">
        <v>11</v>
      </c>
      <c r="F880" s="63">
        <v>0</v>
      </c>
      <c r="G880" s="63">
        <v>12.28</v>
      </c>
      <c r="H880" s="63">
        <v>0</v>
      </c>
      <c r="I880" s="63">
        <v>110.57</v>
      </c>
      <c r="J880" s="96">
        <v>0</v>
      </c>
      <c r="K880" s="253"/>
      <c r="L880" s="114"/>
      <c r="M880" s="72"/>
    </row>
    <row r="881" spans="1:13" ht="18.75" customHeight="1" x14ac:dyDescent="0.25">
      <c r="A881" s="707"/>
      <c r="B881" s="107" t="s">
        <v>112</v>
      </c>
      <c r="C881" s="107"/>
      <c r="D881" s="63">
        <v>1</v>
      </c>
      <c r="E881" s="63">
        <v>1</v>
      </c>
      <c r="F881" s="63">
        <v>0</v>
      </c>
      <c r="G881" s="63">
        <v>0</v>
      </c>
      <c r="H881" s="63">
        <v>0</v>
      </c>
      <c r="I881" s="63">
        <v>0</v>
      </c>
      <c r="J881" s="96">
        <v>0</v>
      </c>
      <c r="K881" s="253"/>
      <c r="L881" s="114"/>
      <c r="M881" s="72"/>
    </row>
    <row r="882" spans="1:13" x14ac:dyDescent="0.25">
      <c r="A882" s="707"/>
      <c r="B882" s="107" t="s">
        <v>49</v>
      </c>
      <c r="C882" s="107"/>
      <c r="D882" s="63">
        <v>1.75</v>
      </c>
      <c r="E882" s="63">
        <v>1.75</v>
      </c>
      <c r="F882" s="63">
        <v>0</v>
      </c>
      <c r="G882" s="63">
        <v>0</v>
      </c>
      <c r="H882" s="63">
        <v>1.99</v>
      </c>
      <c r="I882" s="63">
        <v>7.58</v>
      </c>
      <c r="J882" s="96">
        <v>0</v>
      </c>
      <c r="K882" s="253"/>
      <c r="L882" s="65"/>
      <c r="M882" s="64"/>
    </row>
    <row r="883" spans="1:13" x14ac:dyDescent="0.25">
      <c r="A883" s="707"/>
      <c r="B883" s="658"/>
      <c r="C883" s="124"/>
      <c r="D883" s="13"/>
      <c r="E883" s="13"/>
      <c r="F883" s="118">
        <f>SUM(F877:F882)</f>
        <v>4.2300000000000004</v>
      </c>
      <c r="G883" s="118">
        <f>SUM(G877:G882)</f>
        <v>12.45</v>
      </c>
      <c r="H883" s="118">
        <f>SUM(H877:H882)</f>
        <v>23.05</v>
      </c>
      <c r="I883" s="118">
        <f>SUM(I877:I882)</f>
        <v>223.9</v>
      </c>
      <c r="J883" s="139">
        <f>SUM(J877:J882)</f>
        <v>33.68</v>
      </c>
      <c r="K883" s="153"/>
      <c r="L883" s="114">
        <v>21.89</v>
      </c>
      <c r="M883" s="68">
        <f>SUM(L883*D799)/1000</f>
        <v>0.16417500000000002</v>
      </c>
    </row>
    <row r="884" spans="1:13" x14ac:dyDescent="0.25">
      <c r="A884" s="707"/>
      <c r="B884" s="138" t="s">
        <v>180</v>
      </c>
      <c r="C884" s="124">
        <v>180</v>
      </c>
      <c r="D884" s="13"/>
      <c r="E884" s="13"/>
      <c r="F884" s="63"/>
      <c r="G884" s="63"/>
      <c r="H884" s="63"/>
      <c r="I884" s="63"/>
      <c r="J884" s="96"/>
      <c r="K884" s="108" t="s">
        <v>181</v>
      </c>
      <c r="L884" s="591"/>
      <c r="M884" s="592"/>
    </row>
    <row r="885" spans="1:13" x14ac:dyDescent="0.25">
      <c r="A885" s="707"/>
      <c r="B885" s="107" t="s">
        <v>182</v>
      </c>
      <c r="C885" s="107"/>
      <c r="D885" s="63">
        <v>18</v>
      </c>
      <c r="E885" s="63" t="s">
        <v>183</v>
      </c>
      <c r="F885" s="63">
        <v>0.93600000000000005</v>
      </c>
      <c r="G885" s="63">
        <v>5.3999999999999999E-2</v>
      </c>
      <c r="H885" s="63">
        <v>9.18</v>
      </c>
      <c r="I885" s="63">
        <v>41.76</v>
      </c>
      <c r="J885" s="96">
        <v>0.72</v>
      </c>
      <c r="K885" s="136"/>
      <c r="L885" s="591"/>
      <c r="M885" s="592"/>
    </row>
    <row r="886" spans="1:13" x14ac:dyDescent="0.25">
      <c r="A886" s="707"/>
      <c r="B886" s="107" t="s">
        <v>38</v>
      </c>
      <c r="C886" s="107"/>
      <c r="D886" s="63">
        <v>14.4</v>
      </c>
      <c r="E886" s="63">
        <v>14.4</v>
      </c>
      <c r="F886" s="63">
        <v>0</v>
      </c>
      <c r="G886" s="63">
        <v>0</v>
      </c>
      <c r="H886" s="63">
        <v>14.371</v>
      </c>
      <c r="I886" s="63">
        <v>54.576000000000001</v>
      </c>
      <c r="J886" s="96">
        <v>0</v>
      </c>
      <c r="K886" s="136"/>
      <c r="L886" s="591"/>
      <c r="M886" s="592"/>
    </row>
    <row r="887" spans="1:13" x14ac:dyDescent="0.25">
      <c r="A887" s="707"/>
      <c r="B887" s="107" t="s">
        <v>19</v>
      </c>
      <c r="C887" s="107"/>
      <c r="D887" s="63">
        <v>182.7</v>
      </c>
      <c r="E887" s="63">
        <v>182.7</v>
      </c>
      <c r="F887" s="63">
        <v>0</v>
      </c>
      <c r="G887" s="63">
        <v>0</v>
      </c>
      <c r="H887" s="63">
        <v>0</v>
      </c>
      <c r="I887" s="63">
        <v>0</v>
      </c>
      <c r="J887" s="96">
        <v>0</v>
      </c>
      <c r="K887" s="136"/>
      <c r="L887" s="235"/>
      <c r="M887" s="36"/>
    </row>
    <row r="888" spans="1:13" x14ac:dyDescent="0.25">
      <c r="A888" s="707"/>
      <c r="B888" s="647" t="s">
        <v>324</v>
      </c>
      <c r="C888" s="124">
        <v>70</v>
      </c>
      <c r="D888" s="63">
        <v>70</v>
      </c>
      <c r="E888" s="63">
        <v>70</v>
      </c>
      <c r="F888" s="118">
        <v>3.85</v>
      </c>
      <c r="G888" s="118">
        <v>1.5</v>
      </c>
      <c r="H888" s="118">
        <v>24.9</v>
      </c>
      <c r="I888" s="118">
        <v>131</v>
      </c>
      <c r="J888" s="139">
        <v>0</v>
      </c>
      <c r="K888" s="153" t="s">
        <v>73</v>
      </c>
      <c r="L888" s="114">
        <v>35</v>
      </c>
      <c r="M888" s="72">
        <f>SUM(L888*D888)/1000</f>
        <v>2.4500000000000002</v>
      </c>
    </row>
    <row r="889" spans="1:13" x14ac:dyDescent="0.25">
      <c r="A889" s="708"/>
      <c r="B889" s="124" t="s">
        <v>74</v>
      </c>
      <c r="C889" s="124"/>
      <c r="D889" s="180"/>
      <c r="E889" s="180"/>
      <c r="F889" s="265">
        <f>F865+F875+F883+F888</f>
        <v>19.761400000000002</v>
      </c>
      <c r="G889" s="265">
        <f>G865+G875+G883+G888</f>
        <v>34.248800000000003</v>
      </c>
      <c r="H889" s="265">
        <f>H865+H875+H883+H888</f>
        <v>73.923100000000005</v>
      </c>
      <c r="I889" s="265">
        <f>I865+I875+I883+I888</f>
        <v>687.38599999999997</v>
      </c>
      <c r="J889" s="265">
        <f>J865+J875+J883+J888</f>
        <v>43.643999999999998</v>
      </c>
      <c r="K889" s="158"/>
      <c r="L889" s="65"/>
      <c r="M889" s="71"/>
    </row>
    <row r="890" spans="1:13" x14ac:dyDescent="0.25">
      <c r="A890" s="5" t="s">
        <v>75</v>
      </c>
      <c r="B890" s="13"/>
      <c r="C890" s="4"/>
      <c r="D890" s="105"/>
      <c r="E890" s="106"/>
      <c r="F890" s="51"/>
      <c r="G890" s="51"/>
      <c r="H890" s="51"/>
      <c r="I890" s="51"/>
      <c r="J890" s="53"/>
      <c r="K890" s="125"/>
      <c r="L890" s="65"/>
      <c r="M890" s="64"/>
    </row>
    <row r="891" spans="1:13" x14ac:dyDescent="0.25">
      <c r="A891" s="818"/>
      <c r="B891" s="424" t="s">
        <v>337</v>
      </c>
      <c r="C891" s="709">
        <v>40</v>
      </c>
      <c r="D891" s="340">
        <v>4</v>
      </c>
      <c r="E891" s="340" t="s">
        <v>339</v>
      </c>
      <c r="F891" s="666">
        <v>5.5880000000000001</v>
      </c>
      <c r="G891" s="666">
        <v>5.0599999999999996</v>
      </c>
      <c r="H891" s="666">
        <v>0.308</v>
      </c>
      <c r="I891" s="666">
        <v>69.08</v>
      </c>
      <c r="J891" s="666">
        <v>0</v>
      </c>
      <c r="K891" s="721"/>
      <c r="L891" s="65"/>
      <c r="M891" s="68"/>
    </row>
    <row r="892" spans="1:13" x14ac:dyDescent="0.25">
      <c r="A892" s="817"/>
      <c r="B892" s="420" t="s">
        <v>340</v>
      </c>
      <c r="C892" s="710">
        <v>80</v>
      </c>
      <c r="D892" s="340">
        <v>80</v>
      </c>
      <c r="E892" s="340">
        <v>80</v>
      </c>
      <c r="F892" s="340">
        <v>1.9</v>
      </c>
      <c r="G892" s="340">
        <v>8.9</v>
      </c>
      <c r="H892" s="340">
        <v>7.7</v>
      </c>
      <c r="I892" s="345">
        <v>119</v>
      </c>
      <c r="J892" s="346">
        <v>7.0000000000000007E-2</v>
      </c>
      <c r="K892" s="483" t="s">
        <v>73</v>
      </c>
      <c r="L892" s="144">
        <v>209.73</v>
      </c>
      <c r="M892" s="68">
        <f>SUM(L892*D892)/1000</f>
        <v>16.778399999999998</v>
      </c>
    </row>
    <row r="893" spans="1:13" x14ac:dyDescent="0.25">
      <c r="A893" s="817"/>
      <c r="B893" s="366" t="s">
        <v>40</v>
      </c>
      <c r="C893" s="710">
        <v>20</v>
      </c>
      <c r="D893" s="340">
        <v>20</v>
      </c>
      <c r="E893" s="340">
        <v>20</v>
      </c>
      <c r="F893" s="340">
        <v>2.31</v>
      </c>
      <c r="G893" s="340">
        <v>0.9</v>
      </c>
      <c r="H893" s="340">
        <v>14.94</v>
      </c>
      <c r="I893" s="345">
        <v>78.599999999999994</v>
      </c>
      <c r="J893" s="346">
        <v>0</v>
      </c>
      <c r="K893" s="483" t="s">
        <v>73</v>
      </c>
      <c r="L893" s="144">
        <v>32.659999999999997</v>
      </c>
      <c r="M893" s="68">
        <f>SUM(L893*D893)/1000</f>
        <v>0.65319999999999989</v>
      </c>
    </row>
    <row r="894" spans="1:13" x14ac:dyDescent="0.25">
      <c r="A894" s="817"/>
      <c r="B894" s="420" t="s">
        <v>72</v>
      </c>
      <c r="C894" s="669" t="s">
        <v>187</v>
      </c>
      <c r="D894" s="352"/>
      <c r="E894" s="352"/>
      <c r="F894" s="359"/>
      <c r="G894" s="359"/>
      <c r="H894" s="359"/>
      <c r="I894" s="359"/>
      <c r="J894" s="346"/>
      <c r="K894" s="483" t="s">
        <v>188</v>
      </c>
      <c r="L894" s="144">
        <v>4.6989999999999998</v>
      </c>
      <c r="M894" s="68">
        <f>SUM(L894*D894)/40</f>
        <v>0</v>
      </c>
    </row>
    <row r="895" spans="1:13" x14ac:dyDescent="0.25">
      <c r="A895" s="817"/>
      <c r="B895" s="647" t="s">
        <v>72</v>
      </c>
      <c r="C895" s="105" t="s">
        <v>187</v>
      </c>
      <c r="D895" s="13"/>
      <c r="E895" s="13"/>
      <c r="F895" s="13"/>
      <c r="G895" s="13"/>
      <c r="H895" s="13"/>
      <c r="I895" s="13"/>
      <c r="J895" s="96"/>
      <c r="K895" s="125" t="s">
        <v>188</v>
      </c>
      <c r="L895" s="65"/>
      <c r="M895" s="64"/>
    </row>
    <row r="896" spans="1:13" x14ac:dyDescent="0.25">
      <c r="A896" s="817"/>
      <c r="B896" s="647" t="s">
        <v>184</v>
      </c>
      <c r="C896" s="124"/>
      <c r="D896" s="13">
        <v>30</v>
      </c>
      <c r="E896" s="13">
        <v>30</v>
      </c>
      <c r="F896" s="13"/>
      <c r="G896" s="13"/>
      <c r="H896" s="13"/>
      <c r="I896" s="13"/>
      <c r="J896" s="96"/>
      <c r="K896" s="125"/>
      <c r="L896" s="65"/>
      <c r="M896" s="64"/>
    </row>
    <row r="897" spans="1:13" x14ac:dyDescent="0.25">
      <c r="A897" s="817"/>
      <c r="B897" s="107" t="s">
        <v>120</v>
      </c>
      <c r="C897" s="124"/>
      <c r="D897" s="63">
        <v>32.4</v>
      </c>
      <c r="E897" s="63">
        <v>32.4</v>
      </c>
      <c r="F897" s="63">
        <v>0</v>
      </c>
      <c r="G897" s="63">
        <v>0</v>
      </c>
      <c r="H897" s="63">
        <v>0</v>
      </c>
      <c r="I897" s="63">
        <v>0</v>
      </c>
      <c r="J897" s="96">
        <v>0</v>
      </c>
      <c r="K897" s="125"/>
      <c r="L897" s="65">
        <v>0</v>
      </c>
      <c r="M897" s="68">
        <f>SUM(L897*D897)/1000</f>
        <v>0</v>
      </c>
    </row>
    <row r="898" spans="1:13" x14ac:dyDescent="0.25">
      <c r="A898" s="817"/>
      <c r="B898" s="107" t="s">
        <v>185</v>
      </c>
      <c r="C898" s="107"/>
      <c r="D898" s="63">
        <v>0.3</v>
      </c>
      <c r="E898" s="63">
        <v>0.3</v>
      </c>
      <c r="F898" s="63">
        <v>0.06</v>
      </c>
      <c r="G898" s="63">
        <v>0</v>
      </c>
      <c r="H898" s="63">
        <v>2.07E-2</v>
      </c>
      <c r="I898" s="63">
        <v>0.45540000000000003</v>
      </c>
      <c r="J898" s="96">
        <v>0.03</v>
      </c>
      <c r="K898" s="126"/>
      <c r="L898" s="114">
        <v>375</v>
      </c>
      <c r="M898" s="68">
        <f>SUM(L898*D898)/1000</f>
        <v>0.1125</v>
      </c>
    </row>
    <row r="899" spans="1:13" x14ac:dyDescent="0.25">
      <c r="A899" s="817"/>
      <c r="B899" s="107" t="s">
        <v>49</v>
      </c>
      <c r="C899" s="107"/>
      <c r="D899" s="63">
        <v>10</v>
      </c>
      <c r="E899" s="63">
        <v>10</v>
      </c>
      <c r="F899" s="63">
        <v>0</v>
      </c>
      <c r="G899" s="63">
        <v>0</v>
      </c>
      <c r="H899" s="63">
        <v>9.98</v>
      </c>
      <c r="I899" s="63">
        <v>37.9</v>
      </c>
      <c r="J899" s="96">
        <v>0</v>
      </c>
      <c r="K899" s="126"/>
      <c r="L899" s="114">
        <v>50</v>
      </c>
      <c r="M899" s="68">
        <f>SUM(L899*D899)/1000</f>
        <v>0.5</v>
      </c>
    </row>
    <row r="900" spans="1:13" x14ac:dyDescent="0.25">
      <c r="A900" s="817"/>
      <c r="B900" s="107" t="s">
        <v>19</v>
      </c>
      <c r="C900" s="107"/>
      <c r="D900" s="63">
        <v>150</v>
      </c>
      <c r="E900" s="63">
        <v>150</v>
      </c>
      <c r="F900" s="63">
        <v>0</v>
      </c>
      <c r="G900" s="63">
        <v>0</v>
      </c>
      <c r="H900" s="63">
        <v>0</v>
      </c>
      <c r="I900" s="63">
        <v>0</v>
      </c>
      <c r="J900" s="96">
        <v>0</v>
      </c>
      <c r="K900" s="126"/>
      <c r="L900" s="114">
        <v>0</v>
      </c>
      <c r="M900" s="68">
        <f>SUM(L900*D900)/1000</f>
        <v>0</v>
      </c>
    </row>
    <row r="901" spans="1:13" x14ac:dyDescent="0.25">
      <c r="A901" s="817"/>
      <c r="B901" s="107"/>
      <c r="C901" s="107"/>
      <c r="D901" s="63"/>
      <c r="E901" s="63"/>
      <c r="F901" s="274">
        <f>SUM(F896:F900)</f>
        <v>0.06</v>
      </c>
      <c r="G901" s="274">
        <f t="shared" ref="G901:I901" si="30">SUM(G896:G900)</f>
        <v>0</v>
      </c>
      <c r="H901" s="274">
        <f>SUM(H897:H900)</f>
        <v>10.0007</v>
      </c>
      <c r="I901" s="274">
        <f t="shared" si="30"/>
        <v>38.355399999999996</v>
      </c>
      <c r="J901" s="267">
        <f>SUM(J897:J900)</f>
        <v>0.03</v>
      </c>
      <c r="K901" s="153"/>
      <c r="L901" s="65"/>
      <c r="M901" s="72">
        <f>SUM(M898:M900)</f>
        <v>0.61250000000000004</v>
      </c>
    </row>
    <row r="902" spans="1:13" x14ac:dyDescent="0.25">
      <c r="A902" s="819"/>
      <c r="B902" s="124" t="s">
        <v>46</v>
      </c>
      <c r="C902" s="124"/>
      <c r="D902" s="63"/>
      <c r="E902" s="63"/>
      <c r="F902" s="221">
        <f>F891+F892+F893+F897+F898+F899+F900</f>
        <v>9.8580000000000005</v>
      </c>
      <c r="G902" s="221">
        <f>G891+G892+G893+G897+G898+G899+G900</f>
        <v>14.860000000000001</v>
      </c>
      <c r="H902" s="221">
        <f>H891+H892+H893+H901</f>
        <v>32.948700000000002</v>
      </c>
      <c r="I902" s="221">
        <f>I891+I892+I893+I897+I898+I899+I901</f>
        <v>343.3907999999999</v>
      </c>
      <c r="J902" s="221">
        <f>J891+J892+J893+J897+J898+J899+J900</f>
        <v>0.1</v>
      </c>
      <c r="K902" s="44"/>
      <c r="L902" s="240"/>
      <c r="M902" s="241"/>
    </row>
    <row r="903" spans="1:13" ht="25.5" x14ac:dyDescent="0.25">
      <c r="A903" s="596" t="s">
        <v>168</v>
      </c>
      <c r="B903" s="261"/>
      <c r="C903" s="39"/>
      <c r="D903" s="23"/>
      <c r="E903" s="23"/>
      <c r="F903" s="275">
        <f>F902+F889+F850</f>
        <v>36.734400000000001</v>
      </c>
      <c r="G903" s="275">
        <f>G902+G889+G850</f>
        <v>60.593800000000002</v>
      </c>
      <c r="H903" s="275">
        <f>H902+H889+H850</f>
        <v>170.82980000000001</v>
      </c>
      <c r="I903" s="275">
        <f>I902+I889+I850</f>
        <v>1419.7267999999999</v>
      </c>
      <c r="J903" s="275">
        <f>J902+J889+J850</f>
        <v>64.978999999999999</v>
      </c>
      <c r="K903" s="30"/>
      <c r="L903" s="31"/>
      <c r="M903" s="33" t="e">
        <f>SUM(M850,M887,#REF!,M902)</f>
        <v>#REF!</v>
      </c>
    </row>
    <row r="904" spans="1:13" x14ac:dyDescent="0.25">
      <c r="A904" s="14"/>
      <c r="B904" s="40" t="s">
        <v>169</v>
      </c>
      <c r="C904" s="40"/>
      <c r="D904" s="41"/>
      <c r="E904" s="41"/>
      <c r="F904" s="630">
        <f>F903+F834+F758+F656+F591+F509+F417+F316+F203+F107</f>
        <v>395.94344999999998</v>
      </c>
      <c r="G904" s="630">
        <f>G903+G834+G758+G656+G591+G509+G417+G316+G203+G107</f>
        <v>514.29285000000004</v>
      </c>
      <c r="H904" s="630">
        <f>H903+H834+H758+H656+H591+H509+H417+H316+H203+H107</f>
        <v>2081.98065</v>
      </c>
      <c r="I904" s="631">
        <f>I903+I834+I758+I656+I591+I509+I417+I316+I107</f>
        <v>13237.439000000002</v>
      </c>
      <c r="J904" s="634">
        <f>J903+J834+J758+J656+J591+J509+J417+J316+J203+J107</f>
        <v>310.58909999999997</v>
      </c>
      <c r="K904" s="44"/>
      <c r="L904" s="47"/>
      <c r="M904" s="48" t="e">
        <f>SUM(M107,M203,M316,M417,M509,M591,M656,M758,M834,M903)/10</f>
        <v>#REF!</v>
      </c>
    </row>
    <row r="905" spans="1:13" x14ac:dyDescent="0.25">
      <c r="A905" s="14"/>
      <c r="B905" s="40" t="s">
        <v>170</v>
      </c>
      <c r="C905" s="40"/>
      <c r="D905" s="41"/>
      <c r="E905" s="41"/>
      <c r="F905" s="42">
        <v>73</v>
      </c>
      <c r="G905" s="42">
        <v>69</v>
      </c>
      <c r="H905" s="42">
        <v>275</v>
      </c>
      <c r="I905" s="42">
        <v>1963</v>
      </c>
      <c r="J905" s="43"/>
      <c r="K905" s="156"/>
      <c r="L905" s="632"/>
      <c r="M905" s="94">
        <v>58.21</v>
      </c>
    </row>
    <row r="906" spans="1:13" ht="15" customHeight="1" x14ac:dyDescent="0.25">
      <c r="A906" s="14"/>
      <c r="B906" s="49" t="s">
        <v>171</v>
      </c>
      <c r="C906" s="50"/>
      <c r="D906" s="51"/>
      <c r="E906" s="51"/>
      <c r="F906" s="52">
        <v>62</v>
      </c>
      <c r="G906" s="52">
        <v>63</v>
      </c>
      <c r="H906" s="52">
        <v>83</v>
      </c>
      <c r="I906" s="52">
        <v>73</v>
      </c>
      <c r="J906" s="53"/>
      <c r="K906" s="604"/>
      <c r="L906" s="603"/>
      <c r="M906" s="600"/>
    </row>
    <row r="907" spans="1:13" x14ac:dyDescent="0.25">
      <c r="A907" s="54"/>
      <c r="B907" s="55"/>
      <c r="C907" s="55"/>
      <c r="D907" s="56"/>
      <c r="E907" s="56"/>
      <c r="F907" s="56"/>
      <c r="G907" s="56"/>
      <c r="H907" s="56"/>
      <c r="I907" s="56"/>
      <c r="J907" s="55"/>
      <c r="K907" s="601"/>
      <c r="L907" s="601"/>
      <c r="M907" s="602"/>
    </row>
    <row r="909" spans="1:13" x14ac:dyDescent="0.25">
      <c r="F909" s="633"/>
      <c r="G909" s="633"/>
      <c r="H909" s="633"/>
      <c r="I909" s="633"/>
      <c r="J909" s="633"/>
    </row>
  </sheetData>
  <mergeCells count="39">
    <mergeCell ref="B659:B660"/>
    <mergeCell ref="A782:A816"/>
    <mergeCell ref="A818:A832"/>
    <mergeCell ref="A847:A850"/>
    <mergeCell ref="A687:A732"/>
    <mergeCell ref="A743:A748"/>
    <mergeCell ref="A749:A757"/>
    <mergeCell ref="A761:A778"/>
    <mergeCell ref="A779:A780"/>
    <mergeCell ref="A837:A846"/>
    <mergeCell ref="A891:A902"/>
    <mergeCell ref="A639:A654"/>
    <mergeCell ref="A420:A427"/>
    <mergeCell ref="A497:A508"/>
    <mergeCell ref="A512:A528"/>
    <mergeCell ref="A439:A477"/>
    <mergeCell ref="A532:A570"/>
    <mergeCell ref="A583:A589"/>
    <mergeCell ref="A594:A607"/>
    <mergeCell ref="A608:A611"/>
    <mergeCell ref="A613:A637"/>
    <mergeCell ref="A392:A412"/>
    <mergeCell ref="A343:A390"/>
    <mergeCell ref="A129:A130"/>
    <mergeCell ref="A131:A135"/>
    <mergeCell ref="A142:A178"/>
    <mergeCell ref="A180:A192"/>
    <mergeCell ref="A194:A202"/>
    <mergeCell ref="A225:A226"/>
    <mergeCell ref="A235:A269"/>
    <mergeCell ref="A271:A303"/>
    <mergeCell ref="A319:A338"/>
    <mergeCell ref="A339:A340"/>
    <mergeCell ref="B205:B206"/>
    <mergeCell ref="A110:A128"/>
    <mergeCell ref="A6:A39"/>
    <mergeCell ref="A40:A41"/>
    <mergeCell ref="A45:A79"/>
    <mergeCell ref="A95:A106"/>
  </mergeCells>
  <pageMargins left="0.25" right="0.25" top="0.75" bottom="0.75" header="0.3" footer="0.3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sqref="A1:J10"/>
    </sheetView>
  </sheetViews>
  <sheetFormatPr defaultRowHeight="17.25" customHeight="1" x14ac:dyDescent="0.25"/>
  <cols>
    <col min="1" max="1" width="34" customWidth="1"/>
  </cols>
  <sheetData>
    <row r="1" spans="1:10" ht="13.5" customHeight="1" x14ac:dyDescent="0.25">
      <c r="A1" s="742" t="s">
        <v>251</v>
      </c>
      <c r="B1" s="339">
        <v>120</v>
      </c>
      <c r="C1" s="340"/>
      <c r="D1" s="340"/>
      <c r="E1" s="667"/>
      <c r="F1" s="667"/>
      <c r="G1" s="667"/>
      <c r="H1" s="667"/>
      <c r="I1" s="711"/>
      <c r="J1" s="481" t="s">
        <v>313</v>
      </c>
    </row>
    <row r="2" spans="1:10" ht="17.25" customHeight="1" x14ac:dyDescent="0.25">
      <c r="A2" s="353" t="s">
        <v>252</v>
      </c>
      <c r="B2" s="354"/>
      <c r="C2" s="340">
        <v>147.6</v>
      </c>
      <c r="D2" s="340">
        <v>74.400000000000006</v>
      </c>
      <c r="E2" s="340">
        <f>D2*15.9/100</f>
        <v>11.829600000000001</v>
      </c>
      <c r="F2" s="340">
        <f>0.9*D2/100</f>
        <v>0.66960000000000008</v>
      </c>
      <c r="G2" s="340">
        <v>0</v>
      </c>
      <c r="H2" s="340">
        <f>72*D2/100</f>
        <v>53.568000000000005</v>
      </c>
      <c r="I2" s="346">
        <v>0</v>
      </c>
      <c r="J2" s="480"/>
    </row>
    <row r="3" spans="1:10" ht="17.25" customHeight="1" x14ac:dyDescent="0.25">
      <c r="A3" s="353" t="s">
        <v>229</v>
      </c>
      <c r="B3" s="354"/>
      <c r="C3" s="340">
        <v>22.8</v>
      </c>
      <c r="D3" s="340">
        <v>22.8</v>
      </c>
      <c r="E3" s="340">
        <v>0</v>
      </c>
      <c r="F3" s="340">
        <v>0</v>
      </c>
      <c r="G3" s="340">
        <v>0</v>
      </c>
      <c r="H3" s="340">
        <v>0</v>
      </c>
      <c r="I3" s="346">
        <v>0</v>
      </c>
      <c r="J3" s="480"/>
    </row>
    <row r="4" spans="1:10" ht="17.25" customHeight="1" x14ac:dyDescent="0.25">
      <c r="A4" s="353" t="s">
        <v>238</v>
      </c>
      <c r="B4" s="343"/>
      <c r="C4" s="340">
        <v>32.4</v>
      </c>
      <c r="D4" s="340">
        <v>25.2</v>
      </c>
      <c r="E4" s="340">
        <f>1.3*D4/100</f>
        <v>0.3276</v>
      </c>
      <c r="F4" s="340">
        <v>0</v>
      </c>
      <c r="G4" s="340">
        <f>6.9*D4/100</f>
        <v>1.7387999999999999</v>
      </c>
      <c r="H4" s="340">
        <f>35*D4/100</f>
        <v>8.82</v>
      </c>
      <c r="I4" s="346">
        <v>1.26</v>
      </c>
      <c r="J4" s="480"/>
    </row>
    <row r="5" spans="1:10" ht="17.25" customHeight="1" x14ac:dyDescent="0.25">
      <c r="A5" s="353" t="s">
        <v>239</v>
      </c>
      <c r="B5" s="354"/>
      <c r="C5" s="340">
        <v>14.4</v>
      </c>
      <c r="D5" s="340">
        <v>11</v>
      </c>
      <c r="E5" s="340">
        <v>0.14000000000000001</v>
      </c>
      <c r="F5" s="340">
        <v>0</v>
      </c>
      <c r="G5" s="340">
        <v>0.82</v>
      </c>
      <c r="H5" s="340">
        <v>4.0999999999999996</v>
      </c>
      <c r="I5" s="346">
        <v>1</v>
      </c>
      <c r="J5" s="480"/>
    </row>
    <row r="6" spans="1:10" ht="17.25" customHeight="1" x14ac:dyDescent="0.25">
      <c r="A6" s="353" t="s">
        <v>240</v>
      </c>
      <c r="B6" s="354"/>
      <c r="C6" s="340">
        <v>4.8</v>
      </c>
      <c r="D6" s="340">
        <v>4.8</v>
      </c>
      <c r="E6" s="340">
        <f>4.8*D6/100</f>
        <v>0.23039999999999999</v>
      </c>
      <c r="F6" s="340">
        <v>0</v>
      </c>
      <c r="G6" s="340">
        <f>19*D6/100</f>
        <v>0.91200000000000003</v>
      </c>
      <c r="H6" s="340">
        <f>102*D6/100</f>
        <v>4.8959999999999999</v>
      </c>
      <c r="I6" s="346">
        <v>2.16</v>
      </c>
      <c r="J6" s="480"/>
    </row>
    <row r="7" spans="1:10" ht="17.25" customHeight="1" x14ac:dyDescent="0.25">
      <c r="A7" s="353" t="s">
        <v>241</v>
      </c>
      <c r="B7" s="372"/>
      <c r="C7" s="340">
        <v>6</v>
      </c>
      <c r="D7" s="340">
        <v>6</v>
      </c>
      <c r="E7" s="340">
        <v>0</v>
      </c>
      <c r="F7" s="340">
        <f>99.9*D7/100</f>
        <v>5.9940000000000007</v>
      </c>
      <c r="G7" s="340">
        <v>0</v>
      </c>
      <c r="H7" s="340">
        <f>899*D7/100</f>
        <v>53.94</v>
      </c>
      <c r="I7" s="346">
        <v>0</v>
      </c>
      <c r="J7" s="480"/>
    </row>
    <row r="8" spans="1:10" ht="17.25" customHeight="1" x14ac:dyDescent="0.25">
      <c r="A8" s="353" t="s">
        <v>230</v>
      </c>
      <c r="B8" s="339"/>
      <c r="C8" s="340">
        <v>2.4</v>
      </c>
      <c r="D8" s="340">
        <v>2.4</v>
      </c>
      <c r="E8" s="340">
        <v>0</v>
      </c>
      <c r="F8" s="340">
        <v>0</v>
      </c>
      <c r="G8" s="347">
        <f>99.8*D8/100</f>
        <v>2.3952</v>
      </c>
      <c r="H8" s="347">
        <f>379*D8/100</f>
        <v>9.0960000000000001</v>
      </c>
      <c r="I8" s="349">
        <v>0</v>
      </c>
      <c r="J8" s="480"/>
    </row>
    <row r="9" spans="1:10" ht="17.25" customHeight="1" x14ac:dyDescent="0.25">
      <c r="A9" s="353" t="s">
        <v>231</v>
      </c>
      <c r="B9" s="343"/>
      <c r="C9" s="340">
        <v>1.7</v>
      </c>
      <c r="D9" s="340">
        <v>1.7</v>
      </c>
      <c r="E9" s="340">
        <v>0</v>
      </c>
      <c r="F9" s="340">
        <v>0</v>
      </c>
      <c r="G9" s="340">
        <v>0</v>
      </c>
      <c r="H9" s="340">
        <v>0</v>
      </c>
      <c r="I9" s="346">
        <v>0</v>
      </c>
      <c r="J9" s="480"/>
    </row>
    <row r="10" spans="1:10" ht="17.25" customHeight="1" x14ac:dyDescent="0.25">
      <c r="A10" s="671" t="s">
        <v>242</v>
      </c>
      <c r="B10" s="445"/>
      <c r="C10" s="386">
        <v>0.01</v>
      </c>
      <c r="D10" s="386">
        <v>0.01</v>
      </c>
      <c r="E10" s="386">
        <v>0</v>
      </c>
      <c r="F10" s="386">
        <v>0</v>
      </c>
      <c r="G10" s="386">
        <v>0</v>
      </c>
      <c r="H10" s="386">
        <v>0</v>
      </c>
      <c r="I10" s="448">
        <v>0</v>
      </c>
      <c r="J10" s="69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Сад 2020</vt:lpstr>
      <vt:lpstr>2021 год</vt:lpstr>
      <vt:lpstr>04.05.22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2024-08-05T05:06:03Z</dcterms:modified>
</cp:coreProperties>
</file>